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30" windowWidth="14550" windowHeight="8865" tabRatio="603" activeTab="0"/>
  </bookViews>
  <sheets>
    <sheet name="Grafico" sheetId="1" r:id="rId1"/>
    <sheet name="Dati" sheetId="2" r:id="rId2"/>
  </sheets>
  <definedNames>
    <definedName name="_xlnm.Print_Area" localSheetId="0">'Grafico'!$B$2:$U$36</definedName>
    <definedName name="Langues">#REF!</definedName>
  </definedNames>
  <calcPr fullCalcOnLoad="1"/>
</workbook>
</file>

<file path=xl/sharedStrings.xml><?xml version="1.0" encoding="utf-8"?>
<sst xmlns="http://schemas.openxmlformats.org/spreadsheetml/2006/main" count="708" uniqueCount="203">
  <si>
    <t>Potenza Bruciata KW</t>
  </si>
  <si>
    <t>Pressione camera  mbar</t>
  </si>
  <si>
    <t xml:space="preserve">camera </t>
  </si>
  <si>
    <t>potenza</t>
  </si>
  <si>
    <t>Punto eserc</t>
  </si>
  <si>
    <t>Camera</t>
  </si>
  <si>
    <t>KW</t>
  </si>
  <si>
    <t>Potenza Focolare KW</t>
  </si>
  <si>
    <t>Pressione camera mbar</t>
  </si>
  <si>
    <t>mbar</t>
  </si>
  <si>
    <t>Max</t>
  </si>
  <si>
    <t>MAIOR P 60</t>
  </si>
  <si>
    <t xml:space="preserve">MAIOR P 80 </t>
  </si>
  <si>
    <t xml:space="preserve">MAIOR P 120 </t>
  </si>
  <si>
    <t>MAIOR P 150.1</t>
  </si>
  <si>
    <t>MAIOR P 200.1</t>
  </si>
  <si>
    <t>MAIOR P 300.1</t>
  </si>
  <si>
    <t>MAIOR P 400.1</t>
  </si>
  <si>
    <t>MAIOR P 500.1</t>
  </si>
  <si>
    <t>MAIOR P 600.1</t>
  </si>
  <si>
    <t>MAIOR P 700.1</t>
  </si>
  <si>
    <t>MAIOR P 800.1</t>
  </si>
  <si>
    <t>MAIOR P 1000.1</t>
  </si>
  <si>
    <t>MAIOR P 1200.1</t>
  </si>
  <si>
    <t>MAIOR P 1500.1</t>
  </si>
  <si>
    <t>MAIOR</t>
  </si>
  <si>
    <t>Nafta Olilflam</t>
  </si>
  <si>
    <t>Oilflam 30.1</t>
  </si>
  <si>
    <t>Oilflam 50.1</t>
  </si>
  <si>
    <t>Oilflam 80.1</t>
  </si>
  <si>
    <t>Oilflam 120.1</t>
  </si>
  <si>
    <t>Oilflam 170.1</t>
  </si>
  <si>
    <t>Oilflam 200.1</t>
  </si>
  <si>
    <t>Oilflam 300.1</t>
  </si>
  <si>
    <t>Oilflam 600.1</t>
  </si>
  <si>
    <t>Oilflam 700.1</t>
  </si>
  <si>
    <t>Oilflam 800.1</t>
  </si>
  <si>
    <t>Oilflam 1000.1</t>
  </si>
  <si>
    <t>Oilflam 1200.1</t>
  </si>
  <si>
    <t>Oilflam 1500.1</t>
  </si>
  <si>
    <t>Oilflam</t>
  </si>
  <si>
    <t>Scielta</t>
  </si>
  <si>
    <t>fer</t>
  </si>
  <si>
    <t xml:space="preserve">Camera </t>
  </si>
  <si>
    <t>Potenza</t>
  </si>
  <si>
    <t>Max Blu</t>
  </si>
  <si>
    <t>Tabella collegata, da sistemare dati</t>
  </si>
  <si>
    <t>Gas</t>
  </si>
  <si>
    <t>Max MaiorGasolio</t>
  </si>
  <si>
    <t>Tabella collegata, da sistemare valori</t>
  </si>
  <si>
    <t>Blu 700.1</t>
  </si>
  <si>
    <t>Blu 1000.1</t>
  </si>
  <si>
    <t xml:space="preserve">Blu 1700.1 </t>
  </si>
  <si>
    <t xml:space="preserve">Blu 2000.1 </t>
  </si>
  <si>
    <t xml:space="preserve">Blu 3000.1 </t>
  </si>
  <si>
    <t xml:space="preserve">Blu 4000.1 </t>
  </si>
  <si>
    <t xml:space="preserve">Blu 5000.1 </t>
  </si>
  <si>
    <t xml:space="preserve">Blu 6000.1 </t>
  </si>
  <si>
    <t xml:space="preserve">Blu 7000.1 </t>
  </si>
  <si>
    <t xml:space="preserve">Blu 8000.1 </t>
  </si>
  <si>
    <t>Blu 12000.1</t>
  </si>
  <si>
    <t xml:space="preserve">Blu 10000.1 </t>
  </si>
  <si>
    <t>Blu 15000.1</t>
  </si>
  <si>
    <t>Max 1</t>
  </si>
  <si>
    <t>Max 4</t>
  </si>
  <si>
    <t>Max 8</t>
  </si>
  <si>
    <t>Max 12</t>
  </si>
  <si>
    <t>Max 30</t>
  </si>
  <si>
    <t>Oilflam15.1</t>
  </si>
  <si>
    <t>Oilflam 20.1</t>
  </si>
  <si>
    <t>oilflam 400.1</t>
  </si>
  <si>
    <t>Oilflam 500.1</t>
  </si>
  <si>
    <t>Multicalor</t>
  </si>
  <si>
    <t>sistemare</t>
  </si>
  <si>
    <t>Multiflam</t>
  </si>
  <si>
    <t>PAB</t>
  </si>
  <si>
    <t>camera</t>
  </si>
  <si>
    <t>N/D</t>
  </si>
  <si>
    <t xml:space="preserve">Max G 40 </t>
  </si>
  <si>
    <t xml:space="preserve">Max G 70 </t>
  </si>
  <si>
    <t xml:space="preserve">Max G 105 </t>
  </si>
  <si>
    <t xml:space="preserve">Max G 120 </t>
  </si>
  <si>
    <t xml:space="preserve">Max G 170 </t>
  </si>
  <si>
    <t xml:space="preserve">Max G 250 </t>
  </si>
  <si>
    <t>PAB Version</t>
  </si>
  <si>
    <t>LOW Nox</t>
  </si>
  <si>
    <t xml:space="preserve">Da sistemare </t>
  </si>
  <si>
    <t>LOW Nox/LPG</t>
  </si>
  <si>
    <t>P15AB</t>
  </si>
  <si>
    <t>P25AB</t>
  </si>
  <si>
    <t>Max 20-P25AB</t>
  </si>
  <si>
    <t>Max 15-P15AB</t>
  </si>
  <si>
    <t>Max P25AB</t>
  </si>
  <si>
    <t>N/P</t>
  </si>
  <si>
    <t>MAIOR P 1800.1</t>
  </si>
  <si>
    <t>Oilflam 1800.1</t>
  </si>
  <si>
    <t>Boiler input</t>
  </si>
  <si>
    <t>Combustion chamber</t>
  </si>
  <si>
    <t>Blu 1200.1</t>
  </si>
  <si>
    <t xml:space="preserve">Blu 1500.1 </t>
  </si>
  <si>
    <t>20 mbar</t>
  </si>
  <si>
    <t>20mbar</t>
  </si>
  <si>
    <t>Low NOx</t>
  </si>
  <si>
    <t>Atezza mare</t>
  </si>
  <si>
    <t>Altitude</t>
  </si>
  <si>
    <t>E</t>
  </si>
  <si>
    <t>Potenz</t>
  </si>
  <si>
    <t xml:space="preserve"> Dual Multicalor</t>
  </si>
  <si>
    <t>Bsslu 18000.1</t>
  </si>
  <si>
    <t>Maxflam 10.1</t>
  </si>
  <si>
    <t>Maxflam 20.1</t>
  </si>
  <si>
    <t>Boccaglio</t>
  </si>
  <si>
    <t>Diametro</t>
  </si>
  <si>
    <t>Lunghezza</t>
  </si>
  <si>
    <t>175-335</t>
  </si>
  <si>
    <t>175-395</t>
  </si>
  <si>
    <t>310-460</t>
  </si>
  <si>
    <t>340-540</t>
  </si>
  <si>
    <t>345-545</t>
  </si>
  <si>
    <t>330-530</t>
  </si>
  <si>
    <t>365-565</t>
  </si>
  <si>
    <t>375-575</t>
  </si>
  <si>
    <t>85-185</t>
  </si>
  <si>
    <t>140-220</t>
  </si>
  <si>
    <t>180-280</t>
  </si>
  <si>
    <t>85/185</t>
  </si>
  <si>
    <t>80/140</t>
  </si>
  <si>
    <t>90/145</t>
  </si>
  <si>
    <t>100/155</t>
  </si>
  <si>
    <t>160/260</t>
  </si>
  <si>
    <t>350/600</t>
  </si>
  <si>
    <t>285/485</t>
  </si>
  <si>
    <t>225/445</t>
  </si>
  <si>
    <t>235/395</t>
  </si>
  <si>
    <t>200/390</t>
  </si>
  <si>
    <t>345/545</t>
  </si>
  <si>
    <t>355/555</t>
  </si>
  <si>
    <t xml:space="preserve">Boccaglio </t>
  </si>
  <si>
    <t>Gasolio</t>
  </si>
  <si>
    <t>Nafta</t>
  </si>
  <si>
    <t>205/325</t>
  </si>
  <si>
    <t>Oilflam 15,1</t>
  </si>
  <si>
    <t>170/310</t>
  </si>
  <si>
    <t>295/455</t>
  </si>
  <si>
    <t>Light Oil</t>
  </si>
  <si>
    <t>Heavi Oil</t>
  </si>
  <si>
    <t>75/130</t>
  </si>
  <si>
    <t>175/275</t>
  </si>
  <si>
    <t>200/315</t>
  </si>
  <si>
    <t>Multicalor 45</t>
  </si>
  <si>
    <t>Multicalor 70</t>
  </si>
  <si>
    <t>Multicalor 100</t>
  </si>
  <si>
    <t>Multicalor140</t>
  </si>
  <si>
    <t>Multicalor 170.1</t>
  </si>
  <si>
    <t>Multicalor 200.1</t>
  </si>
  <si>
    <t>Multicalor 300.1</t>
  </si>
  <si>
    <t>Multicalor 400.1</t>
  </si>
  <si>
    <t>Multicalor 500.1</t>
  </si>
  <si>
    <t>Multicalor 600.1</t>
  </si>
  <si>
    <t>Multicalor 700.1</t>
  </si>
  <si>
    <t>Multicalor 800.1</t>
  </si>
  <si>
    <t>Multicalor 1000.1</t>
  </si>
  <si>
    <t>Multicalor 1200.1</t>
  </si>
  <si>
    <t>Multicalor 1500.1</t>
  </si>
  <si>
    <t>Multicalor 1800.1</t>
  </si>
  <si>
    <t>175/335</t>
  </si>
  <si>
    <t>175/395</t>
  </si>
  <si>
    <t>310/460</t>
  </si>
  <si>
    <t>340/540</t>
  </si>
  <si>
    <t>330/530</t>
  </si>
  <si>
    <t>365/565</t>
  </si>
  <si>
    <t>375/575</t>
  </si>
  <si>
    <t>Multiflam 50</t>
  </si>
  <si>
    <t>Multiflam 70</t>
  </si>
  <si>
    <t>Multiflam 120</t>
  </si>
  <si>
    <t>Multiflam 170.1</t>
  </si>
  <si>
    <t>Multiflam 200.1</t>
  </si>
  <si>
    <t>Multiflam 300.1</t>
  </si>
  <si>
    <t>Multiflam 400.1</t>
  </si>
  <si>
    <t>Multiflam 500.1</t>
  </si>
  <si>
    <t>Multiflam 600.1</t>
  </si>
  <si>
    <t>Multiflam 700.1</t>
  </si>
  <si>
    <t>Multiflam 800.1</t>
  </si>
  <si>
    <t>Multiflam 1000.1</t>
  </si>
  <si>
    <t>Multiflam 1200.1</t>
  </si>
  <si>
    <t>Multiflam 1500.1</t>
  </si>
  <si>
    <t>Multiflam 1800.1</t>
  </si>
  <si>
    <t>Diameter</t>
  </si>
  <si>
    <t>Length</t>
  </si>
  <si>
    <t>Blast Tube</t>
  </si>
  <si>
    <t>Max G 350</t>
  </si>
  <si>
    <t>Max G 500</t>
  </si>
  <si>
    <t>Max P 35</t>
  </si>
  <si>
    <t>200-390</t>
  </si>
  <si>
    <t>Blu 500.1 Out PL</t>
  </si>
  <si>
    <t>Dual 1 Out PL</t>
  </si>
  <si>
    <t>Dual 2 Out PL</t>
  </si>
  <si>
    <t>Dual 3-3P Out PL</t>
  </si>
  <si>
    <t>Dual 4-4P Out PL</t>
  </si>
  <si>
    <t>Dual 5 Out PL</t>
  </si>
  <si>
    <t>MAXFLAM 30.1</t>
  </si>
  <si>
    <t>MAXFLAM 50.1</t>
  </si>
  <si>
    <t xml:space="preserve">Max P 45 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</si>
</sst>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0000"/>
    <numFmt numFmtId="185" formatCode="0.000"/>
    <numFmt numFmtId="186" formatCode="0.0"/>
    <numFmt numFmtId="187" formatCode="0;\-0;;@"/>
    <numFmt numFmtId="188" formatCode="0&quot;Kw&quot;"/>
    <numFmt numFmtId="189" formatCode="#,##0\ &quot;Kw&quot;"/>
    <numFmt numFmtId="190" formatCode="#,##0.0\ &quot;Kw&quot;"/>
    <numFmt numFmtId="191" formatCode="0\ &quot;mbar&quot;"/>
    <numFmt numFmtId="192" formatCode="0.0\ &quot;mbar&quot;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0\ &quot;m&quot;"/>
    <numFmt numFmtId="197" formatCode="0\ &quot;mm&quot;"/>
    <numFmt numFmtId="198" formatCode="#,##0\ &quot;€&quot;;\-#,##0\ &quot;€&quot;"/>
    <numFmt numFmtId="199" formatCode="#,##0\ &quot;€&quot;;[Red]\-#,##0\ &quot;€&quot;"/>
    <numFmt numFmtId="200" formatCode="#,##0.00\ &quot;€&quot;;\-#,##0.00\ &quot;€&quot;"/>
    <numFmt numFmtId="201" formatCode="#,##0.00\ &quot;€&quot;;[Red]\-#,##0.00\ &quot;€&quot;"/>
    <numFmt numFmtId="202" formatCode="_-* #,##0\ &quot;€&quot;_-;\-* #,##0\ &quot;€&quot;_-;_-* &quot;-&quot;\ &quot;€&quot;_-;_-@_-"/>
    <numFmt numFmtId="203" formatCode="_-* #,##0\ _€_-;\-* #,##0\ _€_-;_-* &quot;-&quot;\ _€_-;_-@_-"/>
    <numFmt numFmtId="204" formatCode="_-* #,##0.00\ &quot;€&quot;_-;\-* #,##0.00\ &quot;€&quot;_-;_-* &quot;-&quot;??\ &quot;€&quot;_-;_-@_-"/>
    <numFmt numFmtId="205" formatCode="_-* #,##0.00\ _€_-;\-* #,##0.00\ _€_-;_-* &quot;-&quot;??\ _€_-;_-@_-"/>
    <numFmt numFmtId="206" formatCode="#,##0\ &quot;F&quot;;\-#,##0\ &quot;F&quot;"/>
    <numFmt numFmtId="207" formatCode="#,##0\ &quot;F&quot;;[Red]\-#,##0\ &quot;F&quot;"/>
    <numFmt numFmtId="208" formatCode="#,##0.00\ &quot;F&quot;;\-#,##0.00\ &quot;F&quot;"/>
    <numFmt numFmtId="209" formatCode="#,##0.00\ &quot;F&quot;;[Red]\-#,##0.00\ &quot;F&quot;"/>
    <numFmt numFmtId="210" formatCode="_-* #,##0\ &quot;F&quot;_-;\-* #,##0\ &quot;F&quot;_-;_-* &quot;-&quot;\ &quot;F&quot;_-;_-@_-"/>
    <numFmt numFmtId="211" formatCode="_-* #,##0\ _F_-;\-* #,##0\ _F_-;_-* &quot;-&quot;\ _F_-;_-@_-"/>
    <numFmt numFmtId="212" formatCode="_-* #,##0.00\ &quot;F&quot;_-;\-* #,##0.00\ &quot;F&quot;_-;_-* &quot;-&quot;??\ &quot;F&quot;_-;_-@_-"/>
    <numFmt numFmtId="213" formatCode="_-* #,##0.00\ _F_-;\-* #,##0.00\ _F_-;_-* &quot;-&quot;??\ _F_-;_-@_-"/>
    <numFmt numFmtId="214" formatCode="dd/mm/yy;@"/>
  </numFmts>
  <fonts count="78"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12"/>
      <name val="Arial"/>
      <family val="2"/>
    </font>
    <font>
      <b/>
      <u val="single"/>
      <sz val="14"/>
      <color indexed="12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u val="single"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9"/>
      <name val="Arial"/>
      <family val="2"/>
    </font>
    <font>
      <b/>
      <sz val="10"/>
      <color indexed="19"/>
      <name val="Arial"/>
      <family val="2"/>
    </font>
    <font>
      <b/>
      <u val="single"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sz val="11.5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8"/>
      <color indexed="8"/>
      <name val="Arial"/>
      <family val="0"/>
    </font>
    <font>
      <b/>
      <sz val="5.7"/>
      <color indexed="8"/>
      <name val="Arial"/>
      <family val="0"/>
    </font>
    <font>
      <b/>
      <sz val="5.7"/>
      <color indexed="10"/>
      <name val="Arial"/>
      <family val="0"/>
    </font>
    <font>
      <b/>
      <sz val="5.7"/>
      <color indexed="12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4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/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>
        <color indexed="9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9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2" applyNumberFormat="0" applyFill="0" applyAlignment="0" applyProtection="0"/>
    <xf numFmtId="0" fontId="64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30" borderId="4" applyNumberFormat="0" applyFont="0" applyAlignment="0" applyProtection="0"/>
    <xf numFmtId="0" fontId="67" fillId="20" borderId="5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31" borderId="0" applyNumberFormat="0" applyBorder="0" applyAlignment="0" applyProtection="0"/>
    <xf numFmtId="0" fontId="7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4" borderId="10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 locked="0"/>
    </xf>
    <xf numFmtId="0" fontId="0" fillId="34" borderId="17" xfId="0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18" xfId="0" applyFill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15" xfId="0" applyFill="1" applyBorder="1" applyAlignment="1" applyProtection="1">
      <alignment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0" borderId="0" xfId="0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 applyProtection="1">
      <alignment/>
      <protection locked="0"/>
    </xf>
    <xf numFmtId="187" fontId="0" fillId="34" borderId="0" xfId="0" applyNumberFormat="1" applyFill="1" applyAlignment="1" applyProtection="1">
      <alignment/>
      <protection locked="0"/>
    </xf>
    <xf numFmtId="189" fontId="11" fillId="33" borderId="0" xfId="0" applyNumberFormat="1" applyFont="1" applyFill="1" applyBorder="1" applyAlignment="1">
      <alignment horizontal="left" vertical="center"/>
    </xf>
    <xf numFmtId="192" fontId="11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0" fillId="34" borderId="10" xfId="0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187" fontId="19" fillId="33" borderId="0" xfId="0" applyNumberFormat="1" applyFont="1" applyFill="1" applyAlignment="1">
      <alignment horizontal="center"/>
    </xf>
    <xf numFmtId="0" fontId="0" fillId="34" borderId="10" xfId="0" applyFill="1" applyBorder="1" applyAlignment="1" applyProtection="1">
      <alignment/>
      <protection locked="0"/>
    </xf>
    <xf numFmtId="0" fontId="0" fillId="33" borderId="3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37" xfId="0" applyFont="1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/>
      <protection locked="0"/>
    </xf>
    <xf numFmtId="187" fontId="0" fillId="0" borderId="15" xfId="0" applyNumberFormat="1" applyBorder="1" applyAlignment="1">
      <alignment/>
    </xf>
    <xf numFmtId="0" fontId="3" fillId="34" borderId="16" xfId="0" applyFont="1" applyFill="1" applyBorder="1" applyAlignment="1">
      <alignment horizontal="center"/>
    </xf>
    <xf numFmtId="0" fontId="29" fillId="33" borderId="0" xfId="0" applyFont="1" applyFill="1" applyAlignment="1">
      <alignment/>
    </xf>
    <xf numFmtId="0" fontId="0" fillId="33" borderId="15" xfId="0" applyFill="1" applyBorder="1" applyAlignment="1">
      <alignment/>
    </xf>
    <xf numFmtId="0" fontId="77" fillId="0" borderId="0" xfId="0" applyFont="1" applyFill="1" applyAlignment="1" applyProtection="1">
      <alignment/>
      <protection locked="0"/>
    </xf>
    <xf numFmtId="0" fontId="0" fillId="34" borderId="10" xfId="0" applyFont="1" applyFill="1" applyBorder="1" applyAlignment="1">
      <alignment horizontal="center"/>
    </xf>
    <xf numFmtId="0" fontId="28" fillId="33" borderId="16" xfId="0" applyFont="1" applyFill="1" applyBorder="1" applyAlignment="1">
      <alignment horizontal="right"/>
    </xf>
    <xf numFmtId="0" fontId="28" fillId="33" borderId="37" xfId="0" applyFont="1" applyFill="1" applyBorder="1" applyAlignment="1">
      <alignment horizontal="right"/>
    </xf>
    <xf numFmtId="0" fontId="30" fillId="33" borderId="38" xfId="0" applyNumberFormat="1" applyFont="1" applyFill="1" applyBorder="1" applyAlignment="1">
      <alignment horizontal="center"/>
    </xf>
    <xf numFmtId="0" fontId="30" fillId="33" borderId="39" xfId="0" applyNumberFormat="1" applyFont="1" applyFill="1" applyBorder="1" applyAlignment="1">
      <alignment horizontal="center"/>
    </xf>
    <xf numFmtId="0" fontId="30" fillId="33" borderId="40" xfId="0" applyNumberFormat="1" applyFont="1" applyFill="1" applyBorder="1" applyAlignment="1">
      <alignment horizontal="center"/>
    </xf>
    <xf numFmtId="0" fontId="30" fillId="33" borderId="41" xfId="0" applyNumberFormat="1" applyFont="1" applyFill="1" applyBorder="1" applyAlignment="1">
      <alignment horizontal="center"/>
    </xf>
    <xf numFmtId="0" fontId="26" fillId="33" borderId="16" xfId="0" applyFont="1" applyFill="1" applyBorder="1" applyAlignment="1">
      <alignment horizontal="right"/>
    </xf>
    <xf numFmtId="0" fontId="26" fillId="33" borderId="37" xfId="0" applyFont="1" applyFill="1" applyBorder="1" applyAlignment="1">
      <alignment horizontal="right"/>
    </xf>
    <xf numFmtId="0" fontId="30" fillId="33" borderId="42" xfId="0" applyNumberFormat="1" applyFont="1" applyFill="1" applyBorder="1" applyAlignment="1">
      <alignment horizontal="center"/>
    </xf>
    <xf numFmtId="0" fontId="30" fillId="33" borderId="43" xfId="0" applyNumberFormat="1" applyFont="1" applyFill="1" applyBorder="1" applyAlignment="1">
      <alignment horizontal="center"/>
    </xf>
    <xf numFmtId="0" fontId="30" fillId="33" borderId="44" xfId="0" applyNumberFormat="1" applyFont="1" applyFill="1" applyBorder="1" applyAlignment="1">
      <alignment horizontal="center"/>
    </xf>
    <xf numFmtId="0" fontId="20" fillId="33" borderId="16" xfId="0" applyNumberFormat="1" applyFont="1" applyFill="1" applyBorder="1" applyAlignment="1">
      <alignment horizontal="right"/>
    </xf>
    <xf numFmtId="0" fontId="20" fillId="33" borderId="37" xfId="0" applyNumberFormat="1" applyFont="1" applyFill="1" applyBorder="1" applyAlignment="1">
      <alignment horizontal="right"/>
    </xf>
    <xf numFmtId="0" fontId="21" fillId="33" borderId="16" xfId="0" applyFont="1" applyFill="1" applyBorder="1" applyAlignment="1">
      <alignment horizontal="right"/>
    </xf>
    <xf numFmtId="0" fontId="21" fillId="33" borderId="37" xfId="0" applyFont="1" applyFill="1" applyBorder="1" applyAlignment="1">
      <alignment horizontal="right"/>
    </xf>
    <xf numFmtId="0" fontId="22" fillId="33" borderId="13" xfId="0" applyFont="1" applyFill="1" applyBorder="1" applyAlignment="1">
      <alignment horizontal="right"/>
    </xf>
    <xf numFmtId="0" fontId="22" fillId="33" borderId="11" xfId="0" applyFont="1" applyFill="1" applyBorder="1" applyAlignment="1">
      <alignment horizontal="right"/>
    </xf>
    <xf numFmtId="0" fontId="30" fillId="33" borderId="45" xfId="0" applyNumberFormat="1" applyFont="1" applyFill="1" applyBorder="1" applyAlignment="1">
      <alignment horizontal="center"/>
    </xf>
    <xf numFmtId="0" fontId="9" fillId="33" borderId="46" xfId="0" applyFont="1" applyFill="1" applyBorder="1" applyAlignment="1">
      <alignment horizontal="left" vertical="center"/>
    </xf>
    <xf numFmtId="0" fontId="9" fillId="33" borderId="47" xfId="0" applyFont="1" applyFill="1" applyBorder="1" applyAlignment="1">
      <alignment horizontal="left" vertical="center"/>
    </xf>
    <xf numFmtId="0" fontId="9" fillId="33" borderId="48" xfId="0" applyFont="1" applyFill="1" applyBorder="1" applyAlignment="1">
      <alignment horizontal="left" vertical="center"/>
    </xf>
    <xf numFmtId="0" fontId="9" fillId="33" borderId="49" xfId="0" applyFont="1" applyFill="1" applyBorder="1" applyAlignment="1">
      <alignment horizontal="left" vertical="center"/>
    </xf>
    <xf numFmtId="0" fontId="9" fillId="33" borderId="50" xfId="0" applyFont="1" applyFill="1" applyBorder="1" applyAlignment="1">
      <alignment horizontal="left" vertical="center"/>
    </xf>
    <xf numFmtId="0" fontId="9" fillId="33" borderId="51" xfId="0" applyFont="1" applyFill="1" applyBorder="1" applyAlignment="1">
      <alignment horizontal="left" vertical="center"/>
    </xf>
    <xf numFmtId="189" fontId="12" fillId="33" borderId="52" xfId="0" applyNumberFormat="1" applyFont="1" applyFill="1" applyBorder="1" applyAlignment="1">
      <alignment horizontal="left" vertical="center"/>
    </xf>
    <xf numFmtId="189" fontId="12" fillId="33" borderId="47" xfId="0" applyNumberFormat="1" applyFont="1" applyFill="1" applyBorder="1" applyAlignment="1">
      <alignment horizontal="left" vertical="center"/>
    </xf>
    <xf numFmtId="189" fontId="12" fillId="33" borderId="48" xfId="0" applyNumberFormat="1" applyFont="1" applyFill="1" applyBorder="1" applyAlignment="1">
      <alignment horizontal="left" vertical="center"/>
    </xf>
    <xf numFmtId="189" fontId="12" fillId="33" borderId="53" xfId="0" applyNumberFormat="1" applyFont="1" applyFill="1" applyBorder="1" applyAlignment="1">
      <alignment horizontal="left" vertical="center"/>
    </xf>
    <xf numFmtId="189" fontId="12" fillId="33" borderId="50" xfId="0" applyNumberFormat="1" applyFont="1" applyFill="1" applyBorder="1" applyAlignment="1">
      <alignment horizontal="left" vertical="center"/>
    </xf>
    <xf numFmtId="189" fontId="12" fillId="33" borderId="51" xfId="0" applyNumberFormat="1" applyFont="1" applyFill="1" applyBorder="1" applyAlignment="1">
      <alignment horizontal="left" vertical="center"/>
    </xf>
    <xf numFmtId="0" fontId="3" fillId="33" borderId="16" xfId="0" applyNumberFormat="1" applyFont="1" applyFill="1" applyBorder="1" applyAlignment="1">
      <alignment horizontal="center"/>
    </xf>
    <xf numFmtId="0" fontId="3" fillId="33" borderId="37" xfId="0" applyNumberFormat="1" applyFont="1" applyFill="1" applyBorder="1" applyAlignment="1">
      <alignment horizontal="center"/>
    </xf>
    <xf numFmtId="187" fontId="25" fillId="33" borderId="0" xfId="0" applyNumberFormat="1" applyFont="1" applyFill="1" applyAlignment="1">
      <alignment horizontal="left" vertical="center"/>
    </xf>
    <xf numFmtId="0" fontId="3" fillId="33" borderId="54" xfId="0" applyNumberFormat="1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23" fillId="33" borderId="35" xfId="0" applyFont="1" applyFill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96" fontId="18" fillId="33" borderId="33" xfId="0" applyNumberFormat="1" applyFont="1" applyFill="1" applyBorder="1" applyAlignment="1">
      <alignment horizontal="center" vertical="center"/>
    </xf>
    <xf numFmtId="196" fontId="18" fillId="33" borderId="35" xfId="0" applyNumberFormat="1" applyFont="1" applyFill="1" applyBorder="1" applyAlignment="1">
      <alignment horizontal="center" vertical="center"/>
    </xf>
    <xf numFmtId="196" fontId="18" fillId="33" borderId="14" xfId="0" applyNumberFormat="1" applyFont="1" applyFill="1" applyBorder="1" applyAlignment="1">
      <alignment horizontal="center" vertical="center"/>
    </xf>
    <xf numFmtId="196" fontId="18" fillId="33" borderId="11" xfId="0" applyNumberFormat="1" applyFont="1" applyFill="1" applyBorder="1" applyAlignment="1">
      <alignment horizontal="center" vertical="center"/>
    </xf>
    <xf numFmtId="187" fontId="27" fillId="33" borderId="0" xfId="0" applyNumberFormat="1" applyFont="1" applyFill="1" applyAlignment="1">
      <alignment horizontal="left" vertical="center"/>
    </xf>
    <xf numFmtId="187" fontId="27" fillId="33" borderId="14" xfId="0" applyNumberFormat="1" applyFont="1" applyFill="1" applyBorder="1" applyAlignment="1">
      <alignment horizontal="left" vertical="center"/>
    </xf>
    <xf numFmtId="187" fontId="15" fillId="33" borderId="0" xfId="0" applyNumberFormat="1" applyFont="1" applyFill="1" applyBorder="1" applyAlignment="1">
      <alignment horizontal="left" vertical="center"/>
    </xf>
    <xf numFmtId="0" fontId="9" fillId="33" borderId="55" xfId="0" applyFont="1" applyFill="1" applyBorder="1" applyAlignment="1">
      <alignment horizontal="center" vertical="center" wrapText="1"/>
    </xf>
    <xf numFmtId="0" fontId="9" fillId="33" borderId="56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9" fillId="33" borderId="60" xfId="0" applyFont="1" applyFill="1" applyBorder="1" applyAlignment="1">
      <alignment horizontal="center" vertical="center" wrapText="1"/>
    </xf>
    <xf numFmtId="192" fontId="12" fillId="33" borderId="61" xfId="0" applyNumberFormat="1" applyFont="1" applyFill="1" applyBorder="1" applyAlignment="1">
      <alignment horizontal="left" vertical="center"/>
    </xf>
    <xf numFmtId="192" fontId="12" fillId="33" borderId="56" xfId="0" applyNumberFormat="1" applyFont="1" applyFill="1" applyBorder="1" applyAlignment="1">
      <alignment horizontal="left" vertical="center"/>
    </xf>
    <xf numFmtId="192" fontId="12" fillId="33" borderId="57" xfId="0" applyNumberFormat="1" applyFont="1" applyFill="1" applyBorder="1" applyAlignment="1">
      <alignment horizontal="left" vertical="center"/>
    </xf>
    <xf numFmtId="192" fontId="12" fillId="33" borderId="62" xfId="0" applyNumberFormat="1" applyFont="1" applyFill="1" applyBorder="1" applyAlignment="1">
      <alignment horizontal="left" vertical="center"/>
    </xf>
    <xf numFmtId="192" fontId="12" fillId="33" borderId="59" xfId="0" applyNumberFormat="1" applyFont="1" applyFill="1" applyBorder="1" applyAlignment="1">
      <alignment horizontal="left" vertical="center"/>
    </xf>
    <xf numFmtId="192" fontId="12" fillId="33" borderId="60" xfId="0" applyNumberFormat="1" applyFont="1" applyFill="1" applyBorder="1" applyAlignment="1">
      <alignment horizontal="left" vertical="center"/>
    </xf>
    <xf numFmtId="187" fontId="10" fillId="33" borderId="0" xfId="0" applyNumberFormat="1" applyFont="1" applyFill="1" applyBorder="1" applyAlignment="1">
      <alignment horizontal="left" vertical="center"/>
    </xf>
    <xf numFmtId="187" fontId="24" fillId="33" borderId="0" xfId="0" applyNumberFormat="1" applyFont="1" applyFill="1" applyBorder="1" applyAlignment="1">
      <alignment horizontal="left" vertical="center"/>
    </xf>
    <xf numFmtId="187" fontId="13" fillId="33" borderId="0" xfId="0" applyNumberFormat="1" applyFont="1" applyFill="1" applyBorder="1" applyAlignment="1">
      <alignment horizontal="left" vertical="center"/>
    </xf>
    <xf numFmtId="187" fontId="14" fillId="33" borderId="0" xfId="0" applyNumberFormat="1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/>
    </xf>
    <xf numFmtId="0" fontId="0" fillId="34" borderId="63" xfId="0" applyFill="1" applyBorder="1" applyAlignment="1">
      <alignment horizontal="center"/>
    </xf>
    <xf numFmtId="0" fontId="0" fillId="34" borderId="64" xfId="0" applyFill="1" applyBorder="1" applyAlignment="1">
      <alignment horizontal="center"/>
    </xf>
    <xf numFmtId="0" fontId="0" fillId="34" borderId="17" xfId="0" applyFill="1" applyBorder="1" applyAlignment="1" applyProtection="1">
      <alignment horizontal="center"/>
      <protection locked="0"/>
    </xf>
    <xf numFmtId="0" fontId="0" fillId="34" borderId="65" xfId="0" applyFill="1" applyBorder="1" applyAlignment="1" applyProtection="1">
      <alignment horizontal="center"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4" borderId="10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 horizontal="center"/>
      <protection locked="0"/>
    </xf>
    <xf numFmtId="0" fontId="1" fillId="34" borderId="34" xfId="0" applyFont="1" applyFill="1" applyBorder="1" applyAlignment="1" applyProtection="1">
      <alignment horizontal="center"/>
      <protection locked="0"/>
    </xf>
    <xf numFmtId="0" fontId="1" fillId="34" borderId="33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34" borderId="23" xfId="0" applyFill="1" applyBorder="1" applyAlignment="1" applyProtection="1">
      <alignment horizontal="center"/>
      <protection locked="0"/>
    </xf>
    <xf numFmtId="0" fontId="3" fillId="34" borderId="16" xfId="0" applyFont="1" applyFill="1" applyBorder="1" applyAlignment="1" applyProtection="1">
      <alignment horizontal="center"/>
      <protection locked="0"/>
    </xf>
    <xf numFmtId="0" fontId="3" fillId="34" borderId="54" xfId="0" applyFont="1" applyFill="1" applyBorder="1" applyAlignment="1" applyProtection="1">
      <alignment horizontal="center"/>
      <protection locked="0"/>
    </xf>
    <xf numFmtId="0" fontId="3" fillId="34" borderId="37" xfId="0" applyFont="1" applyFill="1" applyBorder="1" applyAlignment="1" applyProtection="1">
      <alignment horizontal="center"/>
      <protection locked="0"/>
    </xf>
    <xf numFmtId="0" fontId="0" fillId="34" borderId="10" xfId="0" applyFont="1" applyFill="1" applyBorder="1" applyAlignment="1" applyProtection="1">
      <alignment horizont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6" fillId="34" borderId="16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0" fillId="34" borderId="56" xfId="0" applyFill="1" applyBorder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7" fillId="0" borderId="32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69" xfId="0" applyFont="1" applyBorder="1" applyAlignment="1">
      <alignment horizontal="left" vertical="center"/>
    </xf>
    <xf numFmtId="0" fontId="6" fillId="35" borderId="16" xfId="0" applyFont="1" applyFill="1" applyBorder="1" applyAlignment="1">
      <alignment horizontal="center"/>
    </xf>
    <xf numFmtId="0" fontId="6" fillId="35" borderId="3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37" xfId="0" applyFont="1" applyFill="1" applyBorder="1" applyAlignment="1">
      <alignment horizontal="center"/>
    </xf>
    <xf numFmtId="187" fontId="10" fillId="34" borderId="0" xfId="0" applyNumberFormat="1" applyFont="1" applyFill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54" xfId="0" applyFont="1" applyBorder="1" applyAlignment="1" applyProtection="1">
      <alignment horizontal="center"/>
      <protection locked="0"/>
    </xf>
    <xf numFmtId="0" fontId="3" fillId="0" borderId="3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7">
    <dxf>
      <font>
        <b/>
        <i val="0"/>
        <color indexed="9"/>
      </font>
      <fill>
        <patternFill>
          <bgColor indexed="55"/>
        </patternFill>
      </fill>
    </dxf>
    <dxf>
      <font>
        <b/>
        <i val="0"/>
        <color indexed="19"/>
      </font>
    </dxf>
    <dxf>
      <font>
        <b/>
        <i val="0"/>
        <color indexed="13"/>
      </font>
    </dxf>
    <dxf>
      <font>
        <b/>
        <i val="0"/>
        <color indexed="10"/>
      </font>
    </dxf>
    <dxf>
      <font>
        <b/>
        <i val="0"/>
        <color indexed="12"/>
      </font>
    </dxf>
    <dxf>
      <border>
        <bottom style="dashed">
          <color indexed="10"/>
        </bottom>
      </border>
    </dxf>
    <dxf>
      <border>
        <bottom style="dashed">
          <color indexed="12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875"/>
          <c:h val="0.98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Dati!$B$12</c:f>
              <c:strCache>
                <c:ptCount val="1"/>
                <c:pt idx="0">
                  <c:v>Punto eserc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Dati!$C$14:$C$16</c:f>
              <c:numCache>
                <c:ptCount val="3"/>
                <c:pt idx="0">
                  <c:v>1201</c:v>
                </c:pt>
                <c:pt idx="1">
                  <c:v>1201</c:v>
                </c:pt>
                <c:pt idx="2">
                  <c:v>0</c:v>
                </c:pt>
              </c:numCache>
            </c:numRef>
          </c:xVal>
          <c:yVal>
            <c:numRef>
              <c:f>Dati!$B$14:$B$16</c:f>
              <c:numCache>
                <c:ptCount val="3"/>
                <c:pt idx="0">
                  <c:v>-0.03</c:v>
                </c:pt>
                <c:pt idx="1">
                  <c:v>5.5</c:v>
                </c:pt>
                <c:pt idx="2">
                  <c:v>5.5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Dati!$U$9</c:f>
              <c:strCache>
                <c:ptCount val="1"/>
                <c:pt idx="0">
                  <c:v>Blu 1500.1 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Dati!$V$11:$V$21</c:f>
              <c:numCache>
                <c:ptCount val="11"/>
                <c:pt idx="0">
                  <c:v>1550</c:v>
                </c:pt>
                <c:pt idx="1">
                  <c:v>1550</c:v>
                </c:pt>
                <c:pt idx="2">
                  <c:v>1350</c:v>
                </c:pt>
                <c:pt idx="3">
                  <c:v>700</c:v>
                </c:pt>
                <c:pt idx="4">
                  <c:v>350</c:v>
                </c:pt>
                <c:pt idx="5">
                  <c:v>350</c:v>
                </c:pt>
                <c:pt idx="6">
                  <c:v>1550</c:v>
                </c:pt>
                <c:pt idx="7">
                  <c:v>1550</c:v>
                </c:pt>
                <c:pt idx="8">
                  <c:v>1550</c:v>
                </c:pt>
                <c:pt idx="9">
                  <c:v>1550</c:v>
                </c:pt>
                <c:pt idx="10">
                  <c:v>1550</c:v>
                </c:pt>
              </c:numCache>
            </c:numRef>
          </c:xVal>
          <c:yVal>
            <c:numRef>
              <c:f>Dati!$U$11:$U$21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Dati!$X$60</c:f>
              <c:strCache>
                <c:ptCount val="1"/>
                <c:pt idx="0">
                  <c:v>LOW Nox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Dati!$T$11:$T$21</c:f>
              <c:numCache>
                <c:ptCount val="11"/>
                <c:pt idx="0">
                  <c:v>1550</c:v>
                </c:pt>
                <c:pt idx="1">
                  <c:v>1550</c:v>
                </c:pt>
                <c:pt idx="2">
                  <c:v>1350</c:v>
                </c:pt>
                <c:pt idx="3">
                  <c:v>750</c:v>
                </c:pt>
                <c:pt idx="4">
                  <c:v>500</c:v>
                </c:pt>
                <c:pt idx="5">
                  <c:v>380</c:v>
                </c:pt>
                <c:pt idx="6">
                  <c:v>1550</c:v>
                </c:pt>
                <c:pt idx="7">
                  <c:v>1550</c:v>
                </c:pt>
                <c:pt idx="8">
                  <c:v>1550</c:v>
                </c:pt>
                <c:pt idx="9">
                  <c:v>1550</c:v>
                </c:pt>
                <c:pt idx="10">
                  <c:v>1550</c:v>
                </c:pt>
              </c:numCache>
            </c:numRef>
          </c:xVal>
          <c:yVal>
            <c:numRef>
              <c:f>Dati!$S$11:$S$21</c:f>
              <c:numCache>
                <c:ptCount val="11"/>
                <c:pt idx="0">
                  <c:v>0</c:v>
                </c:pt>
                <c:pt idx="1">
                  <c:v>2</c:v>
                </c:pt>
                <c:pt idx="2">
                  <c:v>10</c:v>
                </c:pt>
                <c:pt idx="3">
                  <c:v>10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Dati!$U$70</c:f>
              <c:strCache>
                <c:ptCount val="1"/>
                <c:pt idx="0">
                  <c:v>#N/D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Dati!$V$72:$V$82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Dati!$U$72:$U$82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Dati!$U$144</c:f>
              <c:strCache>
                <c:ptCount val="1"/>
                <c:pt idx="0">
                  <c:v>#N/D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Dati!$V$146:$V$156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Dati!$U$146:$U$156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Dati!$U$192</c:f>
              <c:strCache>
                <c:ptCount val="1"/>
                <c:pt idx="0">
                  <c:v>#N/D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Dati!$V$194:$V$204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Dati!$U$194:$U$204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Dati!$V$121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Dati!$T$72:$T$82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Dati!$S$72:$S$82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Dati!$U$250</c:f>
              <c:strCache>
                <c:ptCount val="1"/>
                <c:pt idx="0">
                  <c:v>#N/D</c:v>
                </c:pt>
              </c:strCache>
            </c:strRef>
          </c:tx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Dati!$V$252:$V$262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Dati!$U$252:$U$262</c:f>
              <c:numCach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</c:ser>
        <c:axId val="24722043"/>
        <c:axId val="21171796"/>
      </c:scatterChart>
      <c:valAx>
        <c:axId val="24722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KW</a:t>
                </a:r>
              </a:p>
            </c:rich>
          </c:tx>
          <c:layout>
            <c:manualLayout>
              <c:xMode val="factor"/>
              <c:yMode val="factor"/>
              <c:x val="0.013"/>
              <c:y val="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71796"/>
        <c:crosses val="autoZero"/>
        <c:crossBetween val="midCat"/>
        <c:dispUnits/>
      </c:valAx>
      <c:valAx>
        <c:axId val="21171796"/>
        <c:scaling>
          <c:orientation val="minMax"/>
          <c:min val="0"/>
        </c:scaling>
        <c:axPos val="l"/>
        <c:majorGridlines>
          <c:spPr>
            <a:ln w="12700">
              <a:solidFill>
                <a:srgbClr val="CC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2043"/>
        <c:crosses val="autoZero"/>
        <c:crossBetween val="midCat"/>
        <c:dispUnits/>
      </c:valAx>
      <c:spPr>
        <a:solidFill>
          <a:srgbClr val="000000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025"/>
          <c:y val="0.04225"/>
          <c:w val="0.95625"/>
          <c:h val="0.9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Dati!$B$12</c:f>
              <c:strCache>
                <c:ptCount val="1"/>
                <c:pt idx="0">
                  <c:v>Punto eserc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ize val="14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Dati!$C$14:$C$16</c:f>
              <c:numCache/>
            </c:numRef>
          </c:xVal>
          <c:yVal>
            <c:numRef>
              <c:f>Dati!$B$14:$B$16</c:f>
              <c:numCache/>
            </c:numRef>
          </c:yVal>
          <c:smooth val="0"/>
        </c:ser>
        <c:ser>
          <c:idx val="1"/>
          <c:order val="1"/>
          <c:tx>
            <c:strRef>
              <c:f>Dati!$U$9</c:f>
              <c:strCache>
                <c:ptCount val="1"/>
                <c:pt idx="0">
                  <c:v>Blu 1500.1 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Dati!$V$11:$V$21</c:f>
              <c:numCache/>
            </c:numRef>
          </c:xVal>
          <c:yVal>
            <c:numRef>
              <c:f>Dati!$U$11:$U$21</c:f>
              <c:numCache/>
            </c:numRef>
          </c:yVal>
          <c:smooth val="0"/>
        </c:ser>
        <c:ser>
          <c:idx val="2"/>
          <c:order val="2"/>
          <c:tx>
            <c:strRef>
              <c:f>Dati!$U$70</c:f>
              <c:strCache>
                <c:ptCount val="1"/>
                <c:pt idx="0">
                  <c:v>#N/D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Dati!$V$72:$V$82</c:f>
              <c:numCache/>
            </c:numRef>
          </c:xVal>
          <c:yVal>
            <c:numRef>
              <c:f>Dati!$U$72:$U$82</c:f>
              <c:numCache/>
            </c:numRef>
          </c:yVal>
          <c:smooth val="0"/>
        </c:ser>
        <c:ser>
          <c:idx val="3"/>
          <c:order val="3"/>
          <c:tx>
            <c:strRef>
              <c:f>Dati!$U$144</c:f>
              <c:strCache>
                <c:ptCount val="1"/>
                <c:pt idx="0">
                  <c:v>#N/D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Dati!$V$146:$V$156</c:f>
              <c:numCache/>
            </c:numRef>
          </c:xVal>
          <c:yVal>
            <c:numRef>
              <c:f>Dati!$U$146:$U$156</c:f>
              <c:numCache/>
            </c:numRef>
          </c:yVal>
          <c:smooth val="0"/>
        </c:ser>
        <c:ser>
          <c:idx val="4"/>
          <c:order val="4"/>
          <c:tx>
            <c:strRef>
              <c:f>Dati!$U$192</c:f>
              <c:strCache>
                <c:ptCount val="1"/>
                <c:pt idx="0">
                  <c:v>#N/D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Dati!$V$194:$V$204</c:f>
              <c:numCache/>
            </c:numRef>
          </c:xVal>
          <c:yVal>
            <c:numRef>
              <c:f>Dati!$U$194:$U$204</c:f>
              <c:numCache/>
            </c:numRef>
          </c:yVal>
          <c:smooth val="0"/>
        </c:ser>
        <c:axId val="56328437"/>
        <c:axId val="37193886"/>
      </c:scatterChart>
      <c:valAx>
        <c:axId val="563284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 val="autoZero"/>
        <c:crossBetween val="midCat"/>
        <c:dispUnits/>
      </c:valAx>
      <c:valAx>
        <c:axId val="3719388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84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57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7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245"/>
          <c:y val="0"/>
          <c:w val="0.1675"/>
          <c:h val="0.1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65"/>
          <c:w val="0.89175"/>
          <c:h val="0.967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Dati!$C$43:$C$51</c:f>
              <c:numCache/>
            </c:numRef>
          </c:xVal>
          <c:yVal>
            <c:numRef>
              <c:f>Dati!$D$43:$D$51</c:f>
              <c:numCache/>
            </c:numRef>
          </c:yVal>
          <c:smooth val="1"/>
        </c:ser>
        <c:axId val="66309519"/>
        <c:axId val="59914760"/>
      </c:scatterChart>
      <c:valAx>
        <c:axId val="66309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4760"/>
        <c:crosses val="autoZero"/>
        <c:crossBetween val="midCat"/>
        <c:dispUnits/>
      </c:valAx>
      <c:valAx>
        <c:axId val="599147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95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0645"/>
          <c:w val="0.215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25</xdr:col>
      <xdr:colOff>95250</xdr:colOff>
      <xdr:row>35</xdr:row>
      <xdr:rowOff>123825</xdr:rowOff>
    </xdr:to>
    <xdr:grpSp>
      <xdr:nvGrpSpPr>
        <xdr:cNvPr id="1" name="Group 43"/>
        <xdr:cNvGrpSpPr>
          <a:grpSpLocks/>
        </xdr:cNvGrpSpPr>
      </xdr:nvGrpSpPr>
      <xdr:grpSpPr>
        <a:xfrm>
          <a:off x="47625" y="228600"/>
          <a:ext cx="11734800" cy="9324975"/>
          <a:chOff x="4" y="1550"/>
          <a:chExt cx="1226" cy="554"/>
        </a:xfrm>
        <a:solidFill>
          <a:srgbClr val="FFFFFF"/>
        </a:solidFill>
      </xdr:grpSpPr>
      <xdr:sp>
        <xdr:nvSpPr>
          <xdr:cNvPr id="2" name="AutoShape 39"/>
          <xdr:cNvSpPr>
            <a:spLocks/>
          </xdr:cNvSpPr>
        </xdr:nvSpPr>
        <xdr:spPr>
          <a:xfrm>
            <a:off x="5" y="1550"/>
            <a:ext cx="959" cy="24"/>
          </a:xfrm>
          <a:custGeom>
            <a:pathLst>
              <a:path h="21600" w="21600">
                <a:moveTo>
                  <a:pt x="0" y="0"/>
                </a:moveTo>
                <a:lnTo>
                  <a:pt x="541" y="21600"/>
                </a:lnTo>
                <a:lnTo>
                  <a:pt x="21059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F4F4F4"/>
              </a:gs>
              <a:gs pos="100000">
                <a:srgbClr val="96969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40"/>
          <xdr:cNvSpPr>
            <a:spLocks/>
          </xdr:cNvSpPr>
        </xdr:nvSpPr>
        <xdr:spPr>
          <a:xfrm rot="5400000">
            <a:off x="676" y="1815"/>
            <a:ext cx="554" cy="24"/>
          </a:xfrm>
          <a:custGeom>
            <a:pathLst>
              <a:path h="21600" w="21600">
                <a:moveTo>
                  <a:pt x="0" y="0"/>
                </a:moveTo>
                <a:lnTo>
                  <a:pt x="857" y="21600"/>
                </a:lnTo>
                <a:lnTo>
                  <a:pt x="20743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1"/>
          <xdr:cNvSpPr>
            <a:spLocks/>
          </xdr:cNvSpPr>
        </xdr:nvSpPr>
        <xdr:spPr>
          <a:xfrm rot="10800000">
            <a:off x="4" y="2080"/>
            <a:ext cx="961" cy="24"/>
          </a:xfrm>
          <a:custGeom>
            <a:pathLst>
              <a:path h="21600" w="21600">
                <a:moveTo>
                  <a:pt x="0" y="0"/>
                </a:moveTo>
                <a:lnTo>
                  <a:pt x="584" y="21600"/>
                </a:lnTo>
                <a:lnTo>
                  <a:pt x="21016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454545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42"/>
          <xdr:cNvSpPr>
            <a:spLocks/>
          </xdr:cNvSpPr>
        </xdr:nvSpPr>
        <xdr:spPr>
          <a:xfrm rot="16200000">
            <a:off x="5" y="1550"/>
            <a:ext cx="24" cy="554"/>
          </a:xfrm>
          <a:custGeom>
            <a:pathLst>
              <a:path h="21600" w="21600">
                <a:moveTo>
                  <a:pt x="0" y="0"/>
                </a:moveTo>
                <a:lnTo>
                  <a:pt x="935" y="21600"/>
                </a:lnTo>
                <a:lnTo>
                  <a:pt x="2066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EAEAEA"/>
              </a:gs>
              <a:gs pos="100000">
                <a:srgbClr val="969696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142875</xdr:colOff>
      <xdr:row>2</xdr:row>
      <xdr:rowOff>28575</xdr:rowOff>
    </xdr:from>
    <xdr:to>
      <xdr:col>11</xdr:col>
      <xdr:colOff>190500</xdr:colOff>
      <xdr:row>33</xdr:row>
      <xdr:rowOff>66675</xdr:rowOff>
    </xdr:to>
    <xdr:graphicFrame>
      <xdr:nvGraphicFramePr>
        <xdr:cNvPr id="6" name="Chart 37"/>
        <xdr:cNvGraphicFramePr/>
      </xdr:nvGraphicFramePr>
      <xdr:xfrm>
        <a:off x="190500" y="257175"/>
        <a:ext cx="5353050" cy="891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152400</xdr:colOff>
      <xdr:row>2</xdr:row>
      <xdr:rowOff>142875</xdr:rowOff>
    </xdr:from>
    <xdr:to>
      <xdr:col>19</xdr:col>
      <xdr:colOff>504825</xdr:colOff>
      <xdr:row>9</xdr:row>
      <xdr:rowOff>19050</xdr:rowOff>
    </xdr:to>
    <xdr:grpSp>
      <xdr:nvGrpSpPr>
        <xdr:cNvPr id="7" name="Group 55"/>
        <xdr:cNvGrpSpPr>
          <a:grpSpLocks/>
        </xdr:cNvGrpSpPr>
      </xdr:nvGrpSpPr>
      <xdr:grpSpPr>
        <a:xfrm>
          <a:off x="5505450" y="371475"/>
          <a:ext cx="3400425" cy="3743325"/>
          <a:chOff x="585" y="906"/>
          <a:chExt cx="371" cy="146"/>
        </a:xfrm>
        <a:solidFill>
          <a:srgbClr val="FFFFFF"/>
        </a:solidFill>
      </xdr:grpSpPr>
      <xdr:sp>
        <xdr:nvSpPr>
          <xdr:cNvPr id="8" name="AutoShape 51"/>
          <xdr:cNvSpPr>
            <a:spLocks/>
          </xdr:cNvSpPr>
        </xdr:nvSpPr>
        <xdr:spPr>
          <a:xfrm>
            <a:off x="585" y="906"/>
            <a:ext cx="300" cy="3"/>
          </a:xfrm>
          <a:custGeom>
            <a:pathLst>
              <a:path h="21600" w="21600">
                <a:moveTo>
                  <a:pt x="0" y="0"/>
                </a:moveTo>
                <a:lnTo>
                  <a:pt x="436" y="21600"/>
                </a:lnTo>
                <a:lnTo>
                  <a:pt x="21164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F4F4F4"/>
              </a:gs>
              <a:gs pos="100000">
                <a:srgbClr val="96969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52"/>
          <xdr:cNvSpPr>
            <a:spLocks/>
          </xdr:cNvSpPr>
        </xdr:nvSpPr>
        <xdr:spPr>
          <a:xfrm rot="5400000">
            <a:off x="810" y="976"/>
            <a:ext cx="146" cy="5"/>
          </a:xfrm>
          <a:custGeom>
            <a:pathLst>
              <a:path h="21600" w="21600">
                <a:moveTo>
                  <a:pt x="0" y="0"/>
                </a:moveTo>
                <a:lnTo>
                  <a:pt x="674" y="21600"/>
                </a:lnTo>
                <a:lnTo>
                  <a:pt x="20926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00000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53"/>
          <xdr:cNvSpPr>
            <a:spLocks/>
          </xdr:cNvSpPr>
        </xdr:nvSpPr>
        <xdr:spPr>
          <a:xfrm rot="10800000">
            <a:off x="585" y="1049"/>
            <a:ext cx="300" cy="3"/>
          </a:xfrm>
          <a:custGeom>
            <a:pathLst>
              <a:path h="21600" w="21600">
                <a:moveTo>
                  <a:pt x="0" y="0"/>
                </a:moveTo>
                <a:lnTo>
                  <a:pt x="435" y="21600"/>
                </a:lnTo>
                <a:lnTo>
                  <a:pt x="2116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00000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AutoShape 54"/>
          <xdr:cNvSpPr>
            <a:spLocks/>
          </xdr:cNvSpPr>
        </xdr:nvSpPr>
        <xdr:spPr>
          <a:xfrm rot="16200000">
            <a:off x="585" y="906"/>
            <a:ext cx="6" cy="146"/>
          </a:xfrm>
          <a:custGeom>
            <a:pathLst>
              <a:path h="21600" w="21600">
                <a:moveTo>
                  <a:pt x="0" y="0"/>
                </a:moveTo>
                <a:lnTo>
                  <a:pt x="636" y="21600"/>
                </a:lnTo>
                <a:lnTo>
                  <a:pt x="20964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69696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466725</xdr:colOff>
      <xdr:row>10</xdr:row>
      <xdr:rowOff>57150</xdr:rowOff>
    </xdr:from>
    <xdr:to>
      <xdr:col>18</xdr:col>
      <xdr:colOff>76200</xdr:colOff>
      <xdr:row>20</xdr:row>
      <xdr:rowOff>152400</xdr:rowOff>
    </xdr:to>
    <xdr:grpSp>
      <xdr:nvGrpSpPr>
        <xdr:cNvPr id="12" name="Group 60"/>
        <xdr:cNvGrpSpPr>
          <a:grpSpLocks/>
        </xdr:cNvGrpSpPr>
      </xdr:nvGrpSpPr>
      <xdr:grpSpPr>
        <a:xfrm>
          <a:off x="5086350" y="4314825"/>
          <a:ext cx="3105150" cy="2019300"/>
          <a:chOff x="585" y="906"/>
          <a:chExt cx="371" cy="146"/>
        </a:xfrm>
        <a:solidFill>
          <a:srgbClr val="FFFFFF"/>
        </a:solidFill>
      </xdr:grpSpPr>
      <xdr:sp>
        <xdr:nvSpPr>
          <xdr:cNvPr id="13" name="AutoShape 61"/>
          <xdr:cNvSpPr>
            <a:spLocks/>
          </xdr:cNvSpPr>
        </xdr:nvSpPr>
        <xdr:spPr>
          <a:xfrm>
            <a:off x="585" y="906"/>
            <a:ext cx="300" cy="3"/>
          </a:xfrm>
          <a:custGeom>
            <a:pathLst>
              <a:path h="21600" w="21600">
                <a:moveTo>
                  <a:pt x="0" y="0"/>
                </a:moveTo>
                <a:lnTo>
                  <a:pt x="436" y="21600"/>
                </a:lnTo>
                <a:lnTo>
                  <a:pt x="21164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F4F4F4"/>
              </a:gs>
              <a:gs pos="100000">
                <a:srgbClr val="96969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utoShape 62"/>
          <xdr:cNvSpPr>
            <a:spLocks/>
          </xdr:cNvSpPr>
        </xdr:nvSpPr>
        <xdr:spPr>
          <a:xfrm rot="5400000">
            <a:off x="810" y="976"/>
            <a:ext cx="146" cy="5"/>
          </a:xfrm>
          <a:custGeom>
            <a:pathLst>
              <a:path h="21600" w="21600">
                <a:moveTo>
                  <a:pt x="0" y="0"/>
                </a:moveTo>
                <a:lnTo>
                  <a:pt x="674" y="21600"/>
                </a:lnTo>
                <a:lnTo>
                  <a:pt x="20926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00000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utoShape 63"/>
          <xdr:cNvSpPr>
            <a:spLocks/>
          </xdr:cNvSpPr>
        </xdr:nvSpPr>
        <xdr:spPr>
          <a:xfrm rot="10800000">
            <a:off x="585" y="1049"/>
            <a:ext cx="300" cy="3"/>
          </a:xfrm>
          <a:custGeom>
            <a:pathLst>
              <a:path h="21600" w="21600">
                <a:moveTo>
                  <a:pt x="0" y="0"/>
                </a:moveTo>
                <a:lnTo>
                  <a:pt x="435" y="21600"/>
                </a:lnTo>
                <a:lnTo>
                  <a:pt x="2116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00000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64"/>
          <xdr:cNvSpPr>
            <a:spLocks/>
          </xdr:cNvSpPr>
        </xdr:nvSpPr>
        <xdr:spPr>
          <a:xfrm rot="16200000">
            <a:off x="585" y="906"/>
            <a:ext cx="6" cy="146"/>
          </a:xfrm>
          <a:custGeom>
            <a:pathLst>
              <a:path h="21600" w="21600">
                <a:moveTo>
                  <a:pt x="0" y="0"/>
                </a:moveTo>
                <a:lnTo>
                  <a:pt x="636" y="21600"/>
                </a:lnTo>
                <a:lnTo>
                  <a:pt x="20964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69696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161925</xdr:colOff>
      <xdr:row>23</xdr:row>
      <xdr:rowOff>133350</xdr:rowOff>
    </xdr:from>
    <xdr:to>
      <xdr:col>19</xdr:col>
      <xdr:colOff>438150</xdr:colOff>
      <xdr:row>32</xdr:row>
      <xdr:rowOff>38100</xdr:rowOff>
    </xdr:to>
    <xdr:grpSp>
      <xdr:nvGrpSpPr>
        <xdr:cNvPr id="17" name="Group 73"/>
        <xdr:cNvGrpSpPr>
          <a:grpSpLocks/>
        </xdr:cNvGrpSpPr>
      </xdr:nvGrpSpPr>
      <xdr:grpSpPr>
        <a:xfrm>
          <a:off x="5295900" y="7600950"/>
          <a:ext cx="3543300" cy="1381125"/>
          <a:chOff x="585" y="906"/>
          <a:chExt cx="371" cy="146"/>
        </a:xfrm>
        <a:solidFill>
          <a:srgbClr val="FFFFFF"/>
        </a:solidFill>
      </xdr:grpSpPr>
      <xdr:sp>
        <xdr:nvSpPr>
          <xdr:cNvPr id="18" name="AutoShape 74"/>
          <xdr:cNvSpPr>
            <a:spLocks/>
          </xdr:cNvSpPr>
        </xdr:nvSpPr>
        <xdr:spPr>
          <a:xfrm>
            <a:off x="585" y="906"/>
            <a:ext cx="300" cy="3"/>
          </a:xfrm>
          <a:custGeom>
            <a:pathLst>
              <a:path h="21600" w="21600">
                <a:moveTo>
                  <a:pt x="0" y="0"/>
                </a:moveTo>
                <a:lnTo>
                  <a:pt x="436" y="21600"/>
                </a:lnTo>
                <a:lnTo>
                  <a:pt x="21164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F4F4F4"/>
              </a:gs>
              <a:gs pos="100000">
                <a:srgbClr val="96969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AutoShape 75"/>
          <xdr:cNvSpPr>
            <a:spLocks/>
          </xdr:cNvSpPr>
        </xdr:nvSpPr>
        <xdr:spPr>
          <a:xfrm rot="5400000">
            <a:off x="810" y="976"/>
            <a:ext cx="146" cy="5"/>
          </a:xfrm>
          <a:custGeom>
            <a:pathLst>
              <a:path h="21600" w="21600">
                <a:moveTo>
                  <a:pt x="0" y="0"/>
                </a:moveTo>
                <a:lnTo>
                  <a:pt x="674" y="21600"/>
                </a:lnTo>
                <a:lnTo>
                  <a:pt x="20926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00000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AutoShape 76"/>
          <xdr:cNvSpPr>
            <a:spLocks/>
          </xdr:cNvSpPr>
        </xdr:nvSpPr>
        <xdr:spPr>
          <a:xfrm rot="10800000">
            <a:off x="585" y="1049"/>
            <a:ext cx="300" cy="3"/>
          </a:xfrm>
          <a:custGeom>
            <a:pathLst>
              <a:path h="21600" w="21600">
                <a:moveTo>
                  <a:pt x="0" y="0"/>
                </a:moveTo>
                <a:lnTo>
                  <a:pt x="435" y="21600"/>
                </a:lnTo>
                <a:lnTo>
                  <a:pt x="2116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00000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AutoShape 77"/>
          <xdr:cNvSpPr>
            <a:spLocks/>
          </xdr:cNvSpPr>
        </xdr:nvSpPr>
        <xdr:spPr>
          <a:xfrm rot="16200000">
            <a:off x="585" y="906"/>
            <a:ext cx="6" cy="146"/>
          </a:xfrm>
          <a:custGeom>
            <a:pathLst>
              <a:path h="21600" w="21600">
                <a:moveTo>
                  <a:pt x="0" y="0"/>
                </a:moveTo>
                <a:lnTo>
                  <a:pt x="636" y="21600"/>
                </a:lnTo>
                <a:lnTo>
                  <a:pt x="20964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69696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20</xdr:row>
      <xdr:rowOff>190500</xdr:rowOff>
    </xdr:from>
    <xdr:to>
      <xdr:col>21</xdr:col>
      <xdr:colOff>581025</xdr:colOff>
      <xdr:row>23</xdr:row>
      <xdr:rowOff>9525</xdr:rowOff>
    </xdr:to>
    <xdr:grpSp>
      <xdr:nvGrpSpPr>
        <xdr:cNvPr id="22" name="Group 78"/>
        <xdr:cNvGrpSpPr>
          <a:grpSpLocks/>
        </xdr:cNvGrpSpPr>
      </xdr:nvGrpSpPr>
      <xdr:grpSpPr>
        <a:xfrm>
          <a:off x="5695950" y="6372225"/>
          <a:ext cx="4133850" cy="1104900"/>
          <a:chOff x="585" y="906"/>
          <a:chExt cx="371" cy="146"/>
        </a:xfrm>
        <a:solidFill>
          <a:srgbClr val="FFFFFF"/>
        </a:solidFill>
      </xdr:grpSpPr>
      <xdr:sp>
        <xdr:nvSpPr>
          <xdr:cNvPr id="23" name="AutoShape 79"/>
          <xdr:cNvSpPr>
            <a:spLocks/>
          </xdr:cNvSpPr>
        </xdr:nvSpPr>
        <xdr:spPr>
          <a:xfrm>
            <a:off x="585" y="906"/>
            <a:ext cx="300" cy="3"/>
          </a:xfrm>
          <a:custGeom>
            <a:pathLst>
              <a:path h="21600" w="21600">
                <a:moveTo>
                  <a:pt x="0" y="0"/>
                </a:moveTo>
                <a:lnTo>
                  <a:pt x="436" y="21600"/>
                </a:lnTo>
                <a:lnTo>
                  <a:pt x="21164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F4F4F4"/>
              </a:gs>
              <a:gs pos="100000">
                <a:srgbClr val="969696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AutoShape 80"/>
          <xdr:cNvSpPr>
            <a:spLocks/>
          </xdr:cNvSpPr>
        </xdr:nvSpPr>
        <xdr:spPr>
          <a:xfrm rot="5400000">
            <a:off x="810" y="976"/>
            <a:ext cx="146" cy="5"/>
          </a:xfrm>
          <a:custGeom>
            <a:pathLst>
              <a:path h="21600" w="21600">
                <a:moveTo>
                  <a:pt x="0" y="0"/>
                </a:moveTo>
                <a:lnTo>
                  <a:pt x="674" y="21600"/>
                </a:lnTo>
                <a:lnTo>
                  <a:pt x="20926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000000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AutoShape 81"/>
          <xdr:cNvSpPr>
            <a:spLocks/>
          </xdr:cNvSpPr>
        </xdr:nvSpPr>
        <xdr:spPr>
          <a:xfrm rot="10800000">
            <a:off x="585" y="1049"/>
            <a:ext cx="300" cy="3"/>
          </a:xfrm>
          <a:custGeom>
            <a:pathLst>
              <a:path h="21600" w="21600">
                <a:moveTo>
                  <a:pt x="0" y="0"/>
                </a:moveTo>
                <a:lnTo>
                  <a:pt x="435" y="21600"/>
                </a:lnTo>
                <a:lnTo>
                  <a:pt x="21165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969696"/>
              </a:gs>
              <a:gs pos="100000">
                <a:srgbClr val="000000"/>
              </a:gs>
            </a:gsLst>
            <a:lin ang="54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AutoShape 82"/>
          <xdr:cNvSpPr>
            <a:spLocks/>
          </xdr:cNvSpPr>
        </xdr:nvSpPr>
        <xdr:spPr>
          <a:xfrm rot="16200000">
            <a:off x="585" y="906"/>
            <a:ext cx="6" cy="146"/>
          </a:xfrm>
          <a:custGeom>
            <a:pathLst>
              <a:path h="21600" w="21600">
                <a:moveTo>
                  <a:pt x="0" y="0"/>
                </a:moveTo>
                <a:lnTo>
                  <a:pt x="636" y="21600"/>
                </a:lnTo>
                <a:lnTo>
                  <a:pt x="20964" y="21600"/>
                </a:lnTo>
                <a:lnTo>
                  <a:pt x="21600" y="0"/>
                </a:lnTo>
                <a:close/>
              </a:path>
            </a:pathLst>
          </a:custGeom>
          <a:gradFill rotWithShape="1">
            <a:gsLst>
              <a:gs pos="0">
                <a:srgbClr val="FFFFFF"/>
              </a:gs>
              <a:gs pos="100000">
                <a:srgbClr val="969696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11</xdr:col>
      <xdr:colOff>447675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771525"/>
        <a:ext cx="60579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142875</xdr:rowOff>
    </xdr:from>
    <xdr:to>
      <xdr:col>10</xdr:col>
      <xdr:colOff>219075</xdr:colOff>
      <xdr:row>92</xdr:row>
      <xdr:rowOff>47625</xdr:rowOff>
    </xdr:to>
    <xdr:graphicFrame>
      <xdr:nvGraphicFramePr>
        <xdr:cNvPr id="2" name="Chart 28"/>
        <xdr:cNvGraphicFramePr/>
      </xdr:nvGraphicFramePr>
      <xdr:xfrm>
        <a:off x="0" y="8991600"/>
        <a:ext cx="5219700" cy="657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2:AH141"/>
  <sheetViews>
    <sheetView showGridLines="0" tabSelected="1" zoomScale="90" zoomScaleNormal="90" zoomScalePageLayoutView="0" workbookViewId="0" topLeftCell="A4">
      <selection activeCell="X13" sqref="X13"/>
    </sheetView>
  </sheetViews>
  <sheetFormatPr defaultColWidth="9.140625" defaultRowHeight="12.75"/>
  <cols>
    <col min="1" max="1" width="0.71875" style="0" customWidth="1"/>
    <col min="2" max="2" width="10.421875" style="0" customWidth="1"/>
    <col min="3" max="3" width="10.28125" style="0" customWidth="1"/>
    <col min="4" max="4" width="8.00390625" style="0" customWidth="1"/>
    <col min="5" max="5" width="7.8515625" style="0" customWidth="1"/>
    <col min="6" max="7" width="8.28125" style="0" customWidth="1"/>
    <col min="8" max="8" width="7.421875" style="0" customWidth="1"/>
    <col min="9" max="9" width="8.00390625" style="0" customWidth="1"/>
    <col min="10" max="10" width="7.7109375" style="0" customWidth="1"/>
    <col min="11" max="11" width="3.28125" style="0" customWidth="1"/>
    <col min="12" max="12" width="6.00390625" style="0" customWidth="1"/>
    <col min="13" max="13" width="6.28125" style="0" customWidth="1"/>
    <col min="14" max="14" width="6.7109375" style="0" customWidth="1"/>
    <col min="15" max="15" width="6.140625" style="0" customWidth="1"/>
    <col min="16" max="17" width="4.8515625" style="0" customWidth="1"/>
    <col min="18" max="18" width="6.57421875" style="0" customWidth="1"/>
    <col min="19" max="19" width="4.28125" style="0" customWidth="1"/>
    <col min="21" max="21" width="3.57421875" style="0" customWidth="1"/>
  </cols>
  <sheetData>
    <row r="1" s="23" customFormat="1" ht="12.75"/>
    <row r="2" spans="7:10" s="23" customFormat="1" ht="5.25" customHeight="1">
      <c r="G2" s="28"/>
      <c r="H2" s="28"/>
      <c r="I2" s="28"/>
      <c r="J2" s="28"/>
    </row>
    <row r="3" spans="7:10" s="23" customFormat="1" ht="12.75">
      <c r="G3" s="28"/>
      <c r="H3" s="28"/>
      <c r="I3" s="28"/>
      <c r="J3" s="28"/>
    </row>
    <row r="4" spans="13:14" s="23" customFormat="1" ht="13.5" thickBot="1">
      <c r="M4" s="29"/>
      <c r="N4" s="29"/>
    </row>
    <row r="5" spans="13:19" s="23" customFormat="1" ht="21" thickTop="1">
      <c r="M5" s="106" t="s">
        <v>96</v>
      </c>
      <c r="N5" s="107"/>
      <c r="O5" s="108"/>
      <c r="P5" s="112">
        <v>1201</v>
      </c>
      <c r="Q5" s="113"/>
      <c r="R5" s="114"/>
      <c r="S5" s="58"/>
    </row>
    <row r="6" spans="13:19" s="23" customFormat="1" ht="20.25">
      <c r="M6" s="109"/>
      <c r="N6" s="110"/>
      <c r="O6" s="111"/>
      <c r="P6" s="115"/>
      <c r="Q6" s="116"/>
      <c r="R6" s="117"/>
      <c r="S6" s="58"/>
    </row>
    <row r="7" spans="13:19" s="23" customFormat="1" ht="202.5">
      <c r="M7" s="139" t="s">
        <v>97</v>
      </c>
      <c r="N7" s="140"/>
      <c r="O7" s="141"/>
      <c r="P7" s="145">
        <f>I42</f>
        <v>5.5</v>
      </c>
      <c r="Q7" s="146"/>
      <c r="R7" s="147"/>
      <c r="S7" s="59"/>
    </row>
    <row r="8" spans="13:19" s="23" customFormat="1" ht="21" thickBot="1">
      <c r="M8" s="142"/>
      <c r="N8" s="143"/>
      <c r="O8" s="144"/>
      <c r="P8" s="148"/>
      <c r="Q8" s="149"/>
      <c r="R8" s="150"/>
      <c r="S8" s="59"/>
    </row>
    <row r="9" s="23" customFormat="1" ht="13.5" thickTop="1"/>
    <row r="10" s="23" customFormat="1" ht="12.75"/>
    <row r="11" s="23" customFormat="1" ht="12.75">
      <c r="H11" s="23">
        <v>300</v>
      </c>
    </row>
    <row r="12" spans="11:20" s="23" customFormat="1" ht="12.75" customHeight="1">
      <c r="K12" s="29"/>
      <c r="L12" s="29"/>
      <c r="M12" s="29"/>
      <c r="N12" s="29"/>
      <c r="O12" s="153" t="str">
        <f>IF(Dati!S9=TRUE,"GAS",0)</f>
        <v>GAS</v>
      </c>
      <c r="P12" s="153"/>
      <c r="Q12" s="153"/>
      <c r="R12" s="151" t="str">
        <f>Dati!X60</f>
        <v>LOW Nox</v>
      </c>
      <c r="S12" s="151"/>
      <c r="T12" s="151"/>
    </row>
    <row r="13" spans="11:20" s="23" customFormat="1" ht="12.75" customHeight="1">
      <c r="K13" s="29"/>
      <c r="L13" s="29"/>
      <c r="M13" s="29"/>
      <c r="N13" s="29"/>
      <c r="O13" s="153"/>
      <c r="P13" s="153"/>
      <c r="Q13" s="153"/>
      <c r="R13" s="151"/>
      <c r="S13" s="151"/>
      <c r="T13" s="151"/>
    </row>
    <row r="14" spans="11:20" s="23" customFormat="1" ht="12.75" customHeight="1">
      <c r="K14" s="29"/>
      <c r="L14" s="29"/>
      <c r="M14" s="29"/>
      <c r="N14" s="29"/>
      <c r="O14" s="154">
        <f>IF(Dati!R69=TRUE,"Ligt Oil",0)</f>
        <v>0</v>
      </c>
      <c r="P14" s="154"/>
      <c r="Q14" s="154"/>
      <c r="R14" s="152">
        <f>Dati!V121</f>
        <v>0</v>
      </c>
      <c r="S14" s="152"/>
      <c r="T14" s="152"/>
    </row>
    <row r="15" spans="11:20" s="23" customFormat="1" ht="12.75" customHeight="1">
      <c r="K15" s="29"/>
      <c r="L15" s="29"/>
      <c r="M15" s="29"/>
      <c r="N15" s="29"/>
      <c r="O15" s="154"/>
      <c r="P15" s="154"/>
      <c r="Q15" s="154"/>
      <c r="R15" s="152"/>
      <c r="S15" s="152"/>
      <c r="T15" s="152"/>
    </row>
    <row r="16" spans="11:17" s="23" customFormat="1" ht="18">
      <c r="K16" s="29"/>
      <c r="L16" s="29"/>
      <c r="M16" s="29"/>
      <c r="N16" s="29"/>
      <c r="O16" s="138">
        <f>IF(Dati!R143=TRUE,"Heavy Oil",0)</f>
        <v>0</v>
      </c>
      <c r="P16" s="138"/>
      <c r="Q16" s="138"/>
    </row>
    <row r="17" spans="11:17" s="23" customFormat="1" ht="18">
      <c r="K17" s="29"/>
      <c r="L17" s="29"/>
      <c r="M17" s="29"/>
      <c r="N17" s="29"/>
      <c r="O17" s="138"/>
      <c r="P17" s="138"/>
      <c r="Q17" s="138"/>
    </row>
    <row r="18" spans="15:17" s="23" customFormat="1" ht="18">
      <c r="O18" s="120">
        <f>IF(Dati!R191=TRUE,"Multicalor",0)</f>
        <v>0</v>
      </c>
      <c r="P18" s="120"/>
      <c r="Q18" s="120"/>
    </row>
    <row r="19" spans="15:17" s="23" customFormat="1" ht="18">
      <c r="O19" s="120"/>
      <c r="P19" s="120"/>
      <c r="Q19" s="120"/>
    </row>
    <row r="20" spans="15:17" s="23" customFormat="1" ht="15.75">
      <c r="O20" s="136">
        <f>IF(Dati!R249=TRUE,"Multiflam",0)</f>
        <v>0</v>
      </c>
      <c r="P20" s="136"/>
      <c r="Q20" s="136"/>
    </row>
    <row r="21" spans="15:17" s="23" customFormat="1" ht="16.5" thickBot="1">
      <c r="O21" s="137"/>
      <c r="P21" s="137"/>
      <c r="Q21" s="137"/>
    </row>
    <row r="22" spans="13:20" s="23" customFormat="1" ht="60.75">
      <c r="M22" s="128" t="s">
        <v>104</v>
      </c>
      <c r="N22" s="129"/>
      <c r="O22" s="66"/>
      <c r="P22" s="66"/>
      <c r="Q22" s="66"/>
      <c r="R22" s="132">
        <v>0</v>
      </c>
      <c r="S22" s="132"/>
      <c r="T22" s="133"/>
    </row>
    <row r="23" spans="13:34" s="23" customFormat="1" ht="24" thickBot="1">
      <c r="M23" s="130"/>
      <c r="N23" s="131"/>
      <c r="O23" s="67"/>
      <c r="P23" s="67"/>
      <c r="Q23" s="67"/>
      <c r="R23" s="134"/>
      <c r="S23" s="134"/>
      <c r="T23" s="135"/>
      <c r="AH23" s="23" t="b">
        <v>1</v>
      </c>
    </row>
    <row r="24" s="23" customFormat="1" ht="12.75" customHeight="1" thickBot="1"/>
    <row r="25" spans="13:18" s="23" customFormat="1" ht="12.75" customHeight="1">
      <c r="M25" s="64"/>
      <c r="N25" s="122" t="s">
        <v>189</v>
      </c>
      <c r="O25" s="123"/>
      <c r="P25" s="123"/>
      <c r="Q25" s="123"/>
      <c r="R25" s="124"/>
    </row>
    <row r="26" spans="13:18" s="23" customFormat="1" ht="12.75" customHeight="1" thickBot="1">
      <c r="M26" s="62"/>
      <c r="N26" s="125"/>
      <c r="O26" s="126"/>
      <c r="P26" s="126"/>
      <c r="Q26" s="126"/>
      <c r="R26" s="127"/>
    </row>
    <row r="27" spans="13:18" s="23" customFormat="1" ht="12.75" customHeight="1" thickBot="1">
      <c r="M27" s="63"/>
      <c r="N27" s="118" t="s">
        <v>187</v>
      </c>
      <c r="O27" s="119"/>
      <c r="P27" s="118" t="s">
        <v>188</v>
      </c>
      <c r="Q27" s="121"/>
      <c r="R27" s="119"/>
    </row>
    <row r="28" spans="12:18" s="23" customFormat="1" ht="12.75" customHeight="1" thickBot="1">
      <c r="L28" s="99" t="s">
        <v>47</v>
      </c>
      <c r="M28" s="100"/>
      <c r="N28" s="105">
        <f>Dati!P11</f>
        <v>220</v>
      </c>
      <c r="O28" s="98"/>
      <c r="P28" s="96" t="str">
        <f>Dati!Q11</f>
        <v>340-540</v>
      </c>
      <c r="Q28" s="97"/>
      <c r="R28" s="98"/>
    </row>
    <row r="29" spans="12:22" s="23" customFormat="1" ht="12.75" customHeight="1" thickBot="1">
      <c r="L29" s="101" t="s">
        <v>144</v>
      </c>
      <c r="M29" s="102"/>
      <c r="N29" s="105" t="e">
        <f>Dati!P12</f>
        <v>#N/A</v>
      </c>
      <c r="O29" s="98"/>
      <c r="P29" s="96" t="e">
        <f>Dati!Q12</f>
        <v>#N/A</v>
      </c>
      <c r="Q29" s="97"/>
      <c r="R29" s="98"/>
      <c r="V29" s="84"/>
    </row>
    <row r="30" spans="12:18" s="23" customFormat="1" ht="12.75" customHeight="1" thickBot="1">
      <c r="L30" s="103" t="s">
        <v>145</v>
      </c>
      <c r="M30" s="104"/>
      <c r="N30" s="90" t="e">
        <f>Dati!P13</f>
        <v>#N/A</v>
      </c>
      <c r="O30" s="91"/>
      <c r="P30" s="92" t="e">
        <f>Dati!Q13</f>
        <v>#N/A</v>
      </c>
      <c r="Q30" s="93"/>
      <c r="R30" s="91"/>
    </row>
    <row r="31" spans="12:18" s="23" customFormat="1" ht="13.5" customHeight="1" thickBot="1">
      <c r="L31" s="94" t="s">
        <v>72</v>
      </c>
      <c r="M31" s="95"/>
      <c r="N31" s="90" t="e">
        <f>Dati!P14</f>
        <v>#N/A</v>
      </c>
      <c r="O31" s="91"/>
      <c r="P31" s="92" t="e">
        <f>Dati!Q14</f>
        <v>#N/A</v>
      </c>
      <c r="Q31" s="93"/>
      <c r="R31" s="91"/>
    </row>
    <row r="32" spans="12:18" s="23" customFormat="1" ht="13.5" customHeight="1" thickBot="1">
      <c r="L32" s="88" t="s">
        <v>74</v>
      </c>
      <c r="M32" s="89"/>
      <c r="N32" s="90" t="e">
        <f>Dati!P15</f>
        <v>#N/A</v>
      </c>
      <c r="O32" s="91"/>
      <c r="P32" s="92" t="e">
        <f>Dati!Q15</f>
        <v>#N/A</v>
      </c>
      <c r="Q32" s="93"/>
      <c r="R32" s="91"/>
    </row>
    <row r="33" s="23" customFormat="1" ht="12.75" customHeight="1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3.5" thickBot="1"/>
    <row r="41" spans="9:12" s="23" customFormat="1" ht="13.5" thickBot="1">
      <c r="I41" s="85">
        <v>5</v>
      </c>
      <c r="J41" s="23">
        <v>5</v>
      </c>
      <c r="L41" s="23">
        <f>J41/10</f>
        <v>0.5</v>
      </c>
    </row>
    <row r="42" s="23" customFormat="1" ht="12.75">
      <c r="I42" s="23">
        <f>I41+L41</f>
        <v>5.5</v>
      </c>
    </row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>
      <c r="R83" s="23" t="b">
        <v>0</v>
      </c>
    </row>
    <row r="84" s="23" customFormat="1" ht="12.75"/>
    <row r="85" s="23" customFormat="1" ht="12.75">
      <c r="T85" s="23">
        <v>15</v>
      </c>
    </row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>
      <c r="R141" s="23" t="b">
        <v>1</v>
      </c>
    </row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  <row r="498" s="23" customFormat="1" ht="12.75"/>
    <row r="499" s="23" customFormat="1" ht="12.75"/>
    <row r="500" s="23" customFormat="1" ht="12.75"/>
    <row r="501" s="23" customFormat="1" ht="12.75"/>
    <row r="502" s="23" customFormat="1" ht="12.75"/>
    <row r="503" s="23" customFormat="1" ht="12.75"/>
    <row r="504" s="23" customFormat="1" ht="12.75"/>
    <row r="505" s="23" customFormat="1" ht="12.75"/>
    <row r="506" s="23" customFormat="1" ht="12.75"/>
    <row r="507" s="23" customFormat="1" ht="12.75"/>
    <row r="508" s="23" customFormat="1" ht="12.75"/>
    <row r="509" s="23" customFormat="1" ht="12.75"/>
    <row r="510" s="23" customFormat="1" ht="12.75"/>
    <row r="511" s="23" customFormat="1" ht="12.75"/>
    <row r="512" s="23" customFormat="1" ht="12.75"/>
    <row r="513" s="23" customFormat="1" ht="12.75"/>
    <row r="514" s="23" customFormat="1" ht="12.75"/>
    <row r="515" s="23" customFormat="1" ht="12.75"/>
    <row r="516" s="23" customFormat="1" ht="12.75"/>
    <row r="517" s="23" customFormat="1" ht="12.75"/>
    <row r="518" s="23" customFormat="1" ht="12.75"/>
    <row r="519" s="23" customFormat="1" ht="12.75"/>
    <row r="520" s="23" customFormat="1" ht="12.75"/>
    <row r="521" s="23" customFormat="1" ht="12.75"/>
    <row r="522" s="23" customFormat="1" ht="12.75"/>
    <row r="523" s="23" customFormat="1" ht="12.75"/>
    <row r="524" s="23" customFormat="1" ht="12.75"/>
    <row r="525" s="23" customFormat="1" ht="12.75"/>
    <row r="526" s="23" customFormat="1" ht="12.75"/>
    <row r="527" s="23" customFormat="1" ht="12.75"/>
    <row r="528" s="23" customFormat="1" ht="12.75"/>
    <row r="529" s="23" customFormat="1" ht="12.75"/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="23" customFormat="1" ht="12.75"/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="23" customFormat="1" ht="12.75"/>
    <row r="558" s="23" customFormat="1" ht="12.75"/>
    <row r="559" s="23" customFormat="1" ht="12.75"/>
    <row r="560" s="23" customFormat="1" ht="12.75"/>
    <row r="561" s="23" customFormat="1" ht="12.75"/>
    <row r="562" s="23" customFormat="1" ht="12.75"/>
    <row r="563" s="23" customFormat="1" ht="12.75"/>
    <row r="564" s="23" customFormat="1" ht="12.75"/>
    <row r="565" s="23" customFormat="1" ht="12.75"/>
    <row r="566" s="23" customFormat="1" ht="12.75"/>
    <row r="567" s="23" customFormat="1" ht="12.75"/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  <row r="1238" s="23" customFormat="1" ht="12.75"/>
    <row r="1239" s="23" customFormat="1" ht="12.75"/>
    <row r="1240" s="23" customFormat="1" ht="12.75"/>
    <row r="1241" s="23" customFormat="1" ht="12.75"/>
    <row r="1242" s="23" customFormat="1" ht="12.75"/>
    <row r="1243" s="23" customFormat="1" ht="12.75"/>
    <row r="1244" s="23" customFormat="1" ht="12.75"/>
    <row r="1245" s="23" customFormat="1" ht="12.75"/>
    <row r="1246" s="23" customFormat="1" ht="12.75"/>
    <row r="1247" s="23" customFormat="1" ht="12.75"/>
    <row r="1248" s="23" customFormat="1" ht="12.75"/>
    <row r="1249" s="23" customFormat="1" ht="12.75"/>
    <row r="1250" s="23" customFormat="1" ht="12.75"/>
    <row r="1251" s="23" customFormat="1" ht="12.75"/>
    <row r="1252" s="23" customFormat="1" ht="12.75"/>
    <row r="1253" s="23" customFormat="1" ht="12.75"/>
    <row r="1254" s="23" customFormat="1" ht="12.75"/>
    <row r="1255" s="23" customFormat="1" ht="12.75"/>
    <row r="1256" s="23" customFormat="1" ht="12.75"/>
    <row r="1257" s="23" customFormat="1" ht="12.75"/>
    <row r="1258" s="23" customFormat="1" ht="12.75"/>
    <row r="1259" s="23" customFormat="1" ht="12.75"/>
    <row r="1260" s="23" customFormat="1" ht="12.75"/>
    <row r="1261" s="23" customFormat="1" ht="12.75"/>
    <row r="1262" s="23" customFormat="1" ht="12.75"/>
    <row r="1263" s="23" customFormat="1" ht="12.75"/>
    <row r="1264" s="23" customFormat="1" ht="12.75"/>
    <row r="1265" s="23" customFormat="1" ht="12.75"/>
    <row r="1266" s="23" customFormat="1" ht="12.75"/>
    <row r="1267" s="23" customFormat="1" ht="12.75"/>
    <row r="1268" s="23" customFormat="1" ht="12.75"/>
    <row r="1269" s="23" customFormat="1" ht="12.75"/>
    <row r="1270" s="23" customFormat="1" ht="12.75"/>
    <row r="1271" s="23" customFormat="1" ht="12.75"/>
    <row r="1272" s="23" customFormat="1" ht="12.75"/>
    <row r="1273" s="23" customFormat="1" ht="12.75"/>
    <row r="1274" s="23" customFormat="1" ht="12.75"/>
    <row r="1275" s="23" customFormat="1" ht="12.75"/>
    <row r="1276" s="23" customFormat="1" ht="12.75"/>
    <row r="1277" s="23" customFormat="1" ht="12.75"/>
    <row r="1278" s="23" customFormat="1" ht="12.75"/>
    <row r="1279" s="23" customFormat="1" ht="12.75"/>
    <row r="1280" s="23" customFormat="1" ht="12.75"/>
    <row r="1281" s="23" customFormat="1" ht="12.75"/>
    <row r="1282" s="23" customFormat="1" ht="12.75"/>
    <row r="1283" s="23" customFormat="1" ht="12.75"/>
    <row r="1284" s="23" customFormat="1" ht="12.75"/>
    <row r="1285" s="23" customFormat="1" ht="12.75"/>
    <row r="1286" s="23" customFormat="1" ht="12.75"/>
    <row r="1287" s="23" customFormat="1" ht="12.75"/>
    <row r="1288" s="23" customFormat="1" ht="12.75"/>
    <row r="1289" s="23" customFormat="1" ht="12.75"/>
    <row r="1290" s="23" customFormat="1" ht="12.75"/>
    <row r="1291" s="23" customFormat="1" ht="12.75"/>
    <row r="1292" s="23" customFormat="1" ht="12.75"/>
    <row r="1293" s="23" customFormat="1" ht="12.75"/>
    <row r="1294" s="23" customFormat="1" ht="12.75"/>
    <row r="1295" s="23" customFormat="1" ht="12.75"/>
    <row r="1296" s="23" customFormat="1" ht="12.75"/>
    <row r="1297" s="23" customFormat="1" ht="12.75"/>
    <row r="1298" s="23" customFormat="1" ht="12.75"/>
    <row r="1299" s="23" customFormat="1" ht="12.75"/>
    <row r="1300" s="23" customFormat="1" ht="12.75"/>
    <row r="1301" s="23" customFormat="1" ht="12.75"/>
    <row r="1302" s="23" customFormat="1" ht="12.75"/>
    <row r="1303" s="23" customFormat="1" ht="12.75"/>
    <row r="1304" s="23" customFormat="1" ht="12.75"/>
    <row r="1305" s="23" customFormat="1" ht="12.75"/>
    <row r="1306" s="23" customFormat="1" ht="12.75"/>
    <row r="1307" s="23" customFormat="1" ht="12.75"/>
    <row r="1308" s="23" customFormat="1" ht="12.75"/>
    <row r="1309" s="23" customFormat="1" ht="12.75"/>
    <row r="1310" s="23" customFormat="1" ht="12.75"/>
    <row r="1311" s="23" customFormat="1" ht="12.75"/>
    <row r="1312" s="23" customFormat="1" ht="12.75"/>
    <row r="1313" s="23" customFormat="1" ht="12.75"/>
    <row r="1314" s="23" customFormat="1" ht="12.75"/>
    <row r="1315" s="23" customFormat="1" ht="12.75"/>
    <row r="1316" s="23" customFormat="1" ht="12.75"/>
    <row r="1317" s="23" customFormat="1" ht="12.75"/>
    <row r="1318" s="23" customFormat="1" ht="12.75"/>
    <row r="1319" s="23" customFormat="1" ht="12.75"/>
    <row r="1320" s="23" customFormat="1" ht="12.75"/>
    <row r="1321" s="23" customFormat="1" ht="12.75"/>
    <row r="1322" s="23" customFormat="1" ht="12.75"/>
    <row r="1323" s="23" customFormat="1" ht="12.75"/>
    <row r="1324" s="23" customFormat="1" ht="12.75"/>
    <row r="1325" s="23" customFormat="1" ht="12.75"/>
    <row r="1326" s="23" customFormat="1" ht="12.75"/>
    <row r="1327" s="23" customFormat="1" ht="12.75"/>
    <row r="1328" s="23" customFormat="1" ht="12.75"/>
    <row r="1329" s="23" customFormat="1" ht="12.75"/>
    <row r="1330" s="23" customFormat="1" ht="12.75"/>
    <row r="1331" s="23" customFormat="1" ht="12.75"/>
    <row r="1332" s="23" customFormat="1" ht="12.75"/>
    <row r="1333" s="23" customFormat="1" ht="12.75"/>
    <row r="1334" s="23" customFormat="1" ht="12.75"/>
    <row r="1335" s="23" customFormat="1" ht="12.75"/>
    <row r="1336" s="23" customFormat="1" ht="12.75"/>
    <row r="1337" s="23" customFormat="1" ht="12.75"/>
    <row r="1338" s="23" customFormat="1" ht="12.75"/>
    <row r="1339" s="23" customFormat="1" ht="12.75"/>
    <row r="1340" s="23" customFormat="1" ht="12.75"/>
    <row r="1341" s="23" customFormat="1" ht="12.75"/>
    <row r="1342" s="23" customFormat="1" ht="12.75"/>
    <row r="1343" s="23" customFormat="1" ht="12.75"/>
    <row r="1344" s="23" customFormat="1" ht="12.75"/>
    <row r="1345" s="23" customFormat="1" ht="12.75"/>
    <row r="1346" s="23" customFormat="1" ht="12.75"/>
    <row r="1347" s="23" customFormat="1" ht="12.75"/>
    <row r="1348" s="23" customFormat="1" ht="12.75"/>
    <row r="1349" s="23" customFormat="1" ht="12.75"/>
    <row r="1350" s="23" customFormat="1" ht="12.75"/>
    <row r="1351" s="23" customFormat="1" ht="12.75"/>
    <row r="1352" s="23" customFormat="1" ht="12.75"/>
    <row r="1353" s="23" customFormat="1" ht="12.75"/>
    <row r="1354" s="23" customFormat="1" ht="12.75"/>
    <row r="1355" s="23" customFormat="1" ht="12.75"/>
    <row r="1356" s="23" customFormat="1" ht="12.75"/>
    <row r="1357" s="23" customFormat="1" ht="12.75"/>
    <row r="1358" s="23" customFormat="1" ht="12.75"/>
    <row r="1359" s="23" customFormat="1" ht="12.75"/>
    <row r="1360" s="23" customFormat="1" ht="12.75"/>
    <row r="1361" s="23" customFormat="1" ht="12.75"/>
    <row r="1362" s="23" customFormat="1" ht="12.75"/>
    <row r="1363" s="23" customFormat="1" ht="12.75"/>
    <row r="1364" s="23" customFormat="1" ht="12.75"/>
    <row r="1365" s="23" customFormat="1" ht="12.75"/>
    <row r="1366" s="23" customFormat="1" ht="12.75"/>
    <row r="1367" s="23" customFormat="1" ht="12.75"/>
    <row r="1368" s="23" customFormat="1" ht="12.75"/>
    <row r="1369" s="23" customFormat="1" ht="12.75"/>
    <row r="1370" s="23" customFormat="1" ht="12.75"/>
    <row r="1371" s="23" customFormat="1" ht="12.75"/>
    <row r="1372" s="23" customFormat="1" ht="12.75"/>
    <row r="1373" s="23" customFormat="1" ht="12.75"/>
    <row r="1374" s="23" customFormat="1" ht="12.75"/>
    <row r="1375" s="23" customFormat="1" ht="12.75"/>
    <row r="1376" s="23" customFormat="1" ht="12.75"/>
    <row r="1377" s="23" customFormat="1" ht="12.75"/>
    <row r="1378" s="23" customFormat="1" ht="12.75"/>
    <row r="1379" s="23" customFormat="1" ht="12.75"/>
    <row r="1380" s="23" customFormat="1" ht="12.75"/>
    <row r="1381" s="23" customFormat="1" ht="12.75"/>
    <row r="1382" s="23" customFormat="1" ht="12.75"/>
    <row r="1383" s="23" customFormat="1" ht="12.75"/>
    <row r="1384" s="23" customFormat="1" ht="12.75"/>
    <row r="1385" s="23" customFormat="1" ht="12.75"/>
    <row r="1386" s="23" customFormat="1" ht="12.75"/>
    <row r="1387" s="23" customFormat="1" ht="12.75"/>
    <row r="1388" s="23" customFormat="1" ht="12.75"/>
    <row r="1389" s="23" customFormat="1" ht="12.75"/>
    <row r="1390" s="23" customFormat="1" ht="12.75"/>
    <row r="1391" s="23" customFormat="1" ht="12.75"/>
    <row r="1392" s="23" customFormat="1" ht="12.75"/>
    <row r="1393" s="23" customFormat="1" ht="12.75"/>
    <row r="1394" s="23" customFormat="1" ht="12.75"/>
    <row r="1395" s="23" customFormat="1" ht="12.75"/>
    <row r="1396" s="23" customFormat="1" ht="12.75"/>
    <row r="1397" s="23" customFormat="1" ht="12.75"/>
    <row r="1398" s="23" customFormat="1" ht="12.75"/>
    <row r="1399" s="23" customFormat="1" ht="12.75"/>
    <row r="1400" s="23" customFormat="1" ht="12.75"/>
    <row r="1401" s="23" customFormat="1" ht="12.75"/>
    <row r="1402" s="23" customFormat="1" ht="12.75"/>
    <row r="1403" s="23" customFormat="1" ht="12.75"/>
    <row r="1404" s="23" customFormat="1" ht="12.75"/>
    <row r="1405" s="23" customFormat="1" ht="12.75"/>
    <row r="1406" s="23" customFormat="1" ht="12.75"/>
    <row r="1407" s="23" customFormat="1" ht="12.75"/>
    <row r="1408" s="23" customFormat="1" ht="12.75"/>
    <row r="1409" s="23" customFormat="1" ht="12.75"/>
    <row r="1410" s="23" customFormat="1" ht="12.75"/>
    <row r="1411" s="23" customFormat="1" ht="12.75"/>
    <row r="1412" s="23" customFormat="1" ht="12.75"/>
    <row r="1413" s="23" customFormat="1" ht="12.75"/>
    <row r="1414" s="23" customFormat="1" ht="12.75"/>
    <row r="1415" s="23" customFormat="1" ht="12.75"/>
    <row r="1416" s="23" customFormat="1" ht="12.75"/>
    <row r="1417" s="23" customFormat="1" ht="12.75"/>
    <row r="1418" s="23" customFormat="1" ht="12.75"/>
    <row r="1419" s="23" customFormat="1" ht="12.75"/>
    <row r="1420" s="23" customFormat="1" ht="12.75"/>
    <row r="1421" s="23" customFormat="1" ht="12.75"/>
    <row r="1422" s="23" customFormat="1" ht="12.75"/>
    <row r="1423" s="23" customFormat="1" ht="12.75"/>
    <row r="1424" s="23" customFormat="1" ht="12.75"/>
    <row r="1425" s="23" customFormat="1" ht="12.75"/>
    <row r="1426" s="23" customFormat="1" ht="12.75"/>
    <row r="1427" s="23" customFormat="1" ht="12.75"/>
    <row r="1428" s="23" customFormat="1" ht="12.75"/>
    <row r="1429" s="23" customFormat="1" ht="12.75"/>
    <row r="1430" s="23" customFormat="1" ht="12.75"/>
    <row r="1431" s="23" customFormat="1" ht="12.75"/>
    <row r="1432" s="23" customFormat="1" ht="12.75"/>
    <row r="1433" s="23" customFormat="1" ht="12.75"/>
    <row r="1434" s="23" customFormat="1" ht="12.75"/>
    <row r="1435" s="23" customFormat="1" ht="12.75"/>
    <row r="1436" s="23" customFormat="1" ht="12.75"/>
    <row r="1437" s="23" customFormat="1" ht="12.75"/>
    <row r="1438" s="23" customFormat="1" ht="12.75"/>
    <row r="1439" s="23" customFormat="1" ht="12.75"/>
    <row r="1440" s="23" customFormat="1" ht="12.75"/>
    <row r="1441" s="23" customFormat="1" ht="12.75"/>
    <row r="1442" s="23" customFormat="1" ht="12.75"/>
    <row r="1443" s="23" customFormat="1" ht="12.75"/>
    <row r="1444" s="23" customFormat="1" ht="12.75"/>
    <row r="1445" s="23" customFormat="1" ht="12.75"/>
    <row r="1446" s="23" customFormat="1" ht="12.75"/>
    <row r="1447" s="23" customFormat="1" ht="12.75"/>
    <row r="1448" s="23" customFormat="1" ht="12.75"/>
    <row r="1449" s="23" customFormat="1" ht="12.75"/>
    <row r="1450" s="23" customFormat="1" ht="12.75"/>
    <row r="1451" s="23" customFormat="1" ht="12.75"/>
    <row r="1452" s="23" customFormat="1" ht="12.75"/>
    <row r="1453" s="23" customFormat="1" ht="12.75"/>
    <row r="1454" s="23" customFormat="1" ht="12.75"/>
    <row r="1455" s="23" customFormat="1" ht="12.75"/>
    <row r="1456" s="23" customFormat="1" ht="12.75"/>
    <row r="1457" s="23" customFormat="1" ht="12.75"/>
    <row r="1458" s="23" customFormat="1" ht="12.75"/>
    <row r="1459" s="23" customFormat="1" ht="12.75"/>
    <row r="1460" s="23" customFormat="1" ht="12.75"/>
    <row r="1461" s="23" customFormat="1" ht="12.75"/>
    <row r="1462" s="23" customFormat="1" ht="12.75"/>
    <row r="1463" s="23" customFormat="1" ht="12.75"/>
    <row r="1464" s="23" customFormat="1" ht="12.75"/>
    <row r="1465" s="23" customFormat="1" ht="12.75"/>
    <row r="1466" s="23" customFormat="1" ht="12.75"/>
    <row r="1467" s="23" customFormat="1" ht="12.75"/>
    <row r="1468" s="23" customFormat="1" ht="12.75"/>
    <row r="1469" s="23" customFormat="1" ht="12.75"/>
    <row r="1470" s="23" customFormat="1" ht="12.75"/>
    <row r="1471" s="23" customFormat="1" ht="12.75"/>
    <row r="1472" s="23" customFormat="1" ht="12.75"/>
    <row r="1473" s="23" customFormat="1" ht="12.75"/>
    <row r="1474" s="23" customFormat="1" ht="12.75"/>
    <row r="1475" s="23" customFormat="1" ht="12.75"/>
    <row r="1476" s="23" customFormat="1" ht="12.75"/>
    <row r="1477" s="23" customFormat="1" ht="12.75"/>
    <row r="1478" s="23" customFormat="1" ht="12.75"/>
    <row r="1479" s="23" customFormat="1" ht="12.75"/>
    <row r="1480" s="23" customFormat="1" ht="12.75"/>
    <row r="1481" s="23" customFormat="1" ht="12.75"/>
    <row r="1482" s="23" customFormat="1" ht="12.75"/>
    <row r="1483" s="23" customFormat="1" ht="12.75"/>
    <row r="1484" s="23" customFormat="1" ht="12.75"/>
    <row r="1485" s="23" customFormat="1" ht="12.75"/>
    <row r="1486" s="23" customFormat="1" ht="12.75"/>
    <row r="1487" s="23" customFormat="1" ht="12.75"/>
    <row r="1488" s="23" customFormat="1" ht="12.75"/>
    <row r="1489" s="23" customFormat="1" ht="12.75"/>
    <row r="1490" s="23" customFormat="1" ht="12.75"/>
    <row r="1491" s="23" customFormat="1" ht="12.75"/>
    <row r="1492" s="23" customFormat="1" ht="12.75"/>
    <row r="1493" s="23" customFormat="1" ht="12.75"/>
    <row r="1494" s="23" customFormat="1" ht="12.75"/>
    <row r="1495" s="23" customFormat="1" ht="12.75"/>
    <row r="1496" s="23" customFormat="1" ht="12.75"/>
    <row r="1497" s="23" customFormat="1" ht="12.75"/>
    <row r="1498" s="23" customFormat="1" ht="12.75"/>
    <row r="1499" s="23" customFormat="1" ht="12.75"/>
    <row r="1500" s="23" customFormat="1" ht="12.75"/>
    <row r="1501" s="23" customFormat="1" ht="12.75"/>
    <row r="1502" s="23" customFormat="1" ht="12.75"/>
    <row r="1503" s="23" customFormat="1" ht="12.75"/>
    <row r="1504" s="23" customFormat="1" ht="12.75"/>
    <row r="1505" s="23" customFormat="1" ht="12.75"/>
    <row r="1506" s="23" customFormat="1" ht="12.75"/>
    <row r="1507" s="23" customFormat="1" ht="12.75"/>
    <row r="1508" s="23" customFormat="1" ht="12.75"/>
    <row r="1509" s="23" customFormat="1" ht="12.75"/>
    <row r="1510" s="23" customFormat="1" ht="12.75"/>
    <row r="1511" s="23" customFormat="1" ht="12.75"/>
    <row r="1512" s="23" customFormat="1" ht="12.75"/>
    <row r="1513" s="23" customFormat="1" ht="12.75"/>
    <row r="1514" s="23" customFormat="1" ht="12.75"/>
    <row r="1515" s="23" customFormat="1" ht="12.75"/>
    <row r="1516" s="23" customFormat="1" ht="12.75"/>
    <row r="1517" s="23" customFormat="1" ht="12.75"/>
    <row r="1518" s="23" customFormat="1" ht="12.75"/>
    <row r="1519" s="23" customFormat="1" ht="12.75"/>
    <row r="1520" s="23" customFormat="1" ht="12.75"/>
    <row r="1521" s="23" customFormat="1" ht="12.75"/>
    <row r="1522" s="23" customFormat="1" ht="12.75"/>
    <row r="1523" s="23" customFormat="1" ht="12.75"/>
    <row r="1524" s="23" customFormat="1" ht="12.75"/>
    <row r="1525" s="23" customFormat="1" ht="12.75"/>
    <row r="1526" s="23" customFormat="1" ht="12.75"/>
    <row r="1527" s="23" customFormat="1" ht="12.75"/>
    <row r="1528" s="23" customFormat="1" ht="12.75"/>
    <row r="1529" s="23" customFormat="1" ht="12.75"/>
    <row r="1530" s="23" customFormat="1" ht="12.75"/>
    <row r="1531" s="23" customFormat="1" ht="12.75"/>
    <row r="1532" s="23" customFormat="1" ht="12.75"/>
    <row r="1533" s="23" customFormat="1" ht="12.75"/>
    <row r="1534" s="23" customFormat="1" ht="12.75"/>
    <row r="1535" s="23" customFormat="1" ht="12.75"/>
    <row r="1536" s="23" customFormat="1" ht="12.75"/>
    <row r="1537" s="23" customFormat="1" ht="12.75"/>
    <row r="1538" s="23" customFormat="1" ht="12.75"/>
    <row r="1539" s="23" customFormat="1" ht="12.75"/>
    <row r="1540" s="23" customFormat="1" ht="12.75"/>
    <row r="1541" s="23" customFormat="1" ht="12.75"/>
    <row r="1542" s="23" customFormat="1" ht="12.75"/>
    <row r="1543" s="23" customFormat="1" ht="12.75"/>
    <row r="1544" s="23" customFormat="1" ht="12.75"/>
    <row r="1545" s="23" customFormat="1" ht="12.75"/>
    <row r="1546" s="23" customFormat="1" ht="12.75"/>
    <row r="1547" s="23" customFormat="1" ht="12.75"/>
    <row r="1548" s="23" customFormat="1" ht="12.75"/>
    <row r="1549" s="23" customFormat="1" ht="12.75"/>
    <row r="1550" s="23" customFormat="1" ht="12.75"/>
    <row r="1551" s="23" customFormat="1" ht="12.75"/>
    <row r="1552" s="23" customFormat="1" ht="12.75"/>
    <row r="1553" s="23" customFormat="1" ht="12.75"/>
    <row r="1554" s="23" customFormat="1" ht="12.75"/>
    <row r="1555" s="23" customFormat="1" ht="12.75"/>
    <row r="1556" s="23" customFormat="1" ht="12.75"/>
    <row r="1557" s="23" customFormat="1" ht="12.75"/>
    <row r="1558" s="23" customFormat="1" ht="12.75"/>
    <row r="1559" s="23" customFormat="1" ht="12.75"/>
    <row r="1560" s="23" customFormat="1" ht="12.75"/>
    <row r="1561" s="23" customFormat="1" ht="12.75"/>
    <row r="1562" s="23" customFormat="1" ht="12.75"/>
    <row r="1563" s="23" customFormat="1" ht="12.75"/>
    <row r="1564" s="23" customFormat="1" ht="12.75"/>
    <row r="1565" s="23" customFormat="1" ht="12.75"/>
    <row r="1566" s="23" customFormat="1" ht="12.75"/>
    <row r="1567" s="23" customFormat="1" ht="12.75"/>
    <row r="1568" s="23" customFormat="1" ht="12.75"/>
    <row r="1569" s="23" customFormat="1" ht="12.75"/>
    <row r="1570" s="23" customFormat="1" ht="12.75"/>
    <row r="1571" s="23" customFormat="1" ht="12.75"/>
    <row r="1572" s="23" customFormat="1" ht="12.75"/>
    <row r="1573" s="23" customFormat="1" ht="12.75"/>
    <row r="1574" s="23" customFormat="1" ht="12.75"/>
    <row r="1575" s="23" customFormat="1" ht="12.75"/>
    <row r="1576" s="23" customFormat="1" ht="12.75"/>
    <row r="1577" s="23" customFormat="1" ht="12.75"/>
    <row r="1578" s="23" customFormat="1" ht="12.75"/>
    <row r="1579" s="23" customFormat="1" ht="12.75"/>
    <row r="1580" s="23" customFormat="1" ht="12.75"/>
    <row r="1581" s="23" customFormat="1" ht="12.75"/>
    <row r="1582" s="23" customFormat="1" ht="12.75"/>
    <row r="1583" s="23" customFormat="1" ht="12.75"/>
    <row r="1584" s="23" customFormat="1" ht="12.75"/>
    <row r="1585" s="23" customFormat="1" ht="12.75"/>
    <row r="1586" s="23" customFormat="1" ht="12.75"/>
    <row r="1587" s="23" customFormat="1" ht="12.75"/>
    <row r="1588" s="23" customFormat="1" ht="12.75"/>
    <row r="1589" s="23" customFormat="1" ht="12.75"/>
    <row r="1590" s="23" customFormat="1" ht="12.75"/>
    <row r="1591" s="23" customFormat="1" ht="12.75"/>
    <row r="1592" s="23" customFormat="1" ht="12.75"/>
    <row r="1593" s="23" customFormat="1" ht="12.75"/>
    <row r="1594" s="23" customFormat="1" ht="12.75"/>
    <row r="1595" s="23" customFormat="1" ht="12.75"/>
    <row r="1596" s="23" customFormat="1" ht="12.75"/>
    <row r="1597" s="23" customFormat="1" ht="12.75"/>
    <row r="1598" s="23" customFormat="1" ht="12.75"/>
    <row r="1599" s="23" customFormat="1" ht="12.75"/>
    <row r="1600" s="23" customFormat="1" ht="12.75"/>
    <row r="1601" s="23" customFormat="1" ht="12.75"/>
    <row r="1602" s="23" customFormat="1" ht="12.75"/>
    <row r="1603" s="23" customFormat="1" ht="12.75"/>
    <row r="1604" s="23" customFormat="1" ht="12.75"/>
    <row r="1605" s="23" customFormat="1" ht="12.75"/>
    <row r="1606" s="23" customFormat="1" ht="12.75"/>
    <row r="1607" s="23" customFormat="1" ht="12.75"/>
    <row r="1608" s="23" customFormat="1" ht="12.75"/>
    <row r="1609" s="23" customFormat="1" ht="12.75"/>
    <row r="1610" s="23" customFormat="1" ht="12.75"/>
    <row r="1611" s="23" customFormat="1" ht="12.75"/>
    <row r="1612" s="23" customFormat="1" ht="12.75"/>
    <row r="1613" s="23" customFormat="1" ht="12.75"/>
    <row r="1614" s="23" customFormat="1" ht="12.75"/>
    <row r="1615" s="23" customFormat="1" ht="12.75"/>
    <row r="1616" s="23" customFormat="1" ht="12.75"/>
    <row r="1617" s="23" customFormat="1" ht="12.75"/>
    <row r="1618" s="23" customFormat="1" ht="12.75"/>
    <row r="1619" s="23" customFormat="1" ht="12.75"/>
    <row r="1620" s="23" customFormat="1" ht="12.75"/>
    <row r="1621" s="23" customFormat="1" ht="12.75"/>
    <row r="1622" s="23" customFormat="1" ht="12.75"/>
    <row r="1623" s="23" customFormat="1" ht="12.75"/>
    <row r="1624" s="23" customFormat="1" ht="12.75"/>
    <row r="1625" s="23" customFormat="1" ht="12.75"/>
    <row r="1626" s="23" customFormat="1" ht="12.75"/>
    <row r="1627" s="23" customFormat="1" ht="12.75"/>
    <row r="1628" s="23" customFormat="1" ht="12.75"/>
    <row r="1629" s="23" customFormat="1" ht="12.75"/>
    <row r="1630" s="23" customFormat="1" ht="12.75"/>
    <row r="1631" s="23" customFormat="1" ht="12.75"/>
    <row r="1632" s="23" customFormat="1" ht="12.75"/>
    <row r="1633" s="23" customFormat="1" ht="12.75"/>
    <row r="1634" s="23" customFormat="1" ht="12.75"/>
    <row r="1635" s="23" customFormat="1" ht="12.75"/>
    <row r="1636" s="23" customFormat="1" ht="12.75"/>
    <row r="1637" s="23" customFormat="1" ht="12.75"/>
    <row r="1638" s="23" customFormat="1" ht="12.75"/>
    <row r="1639" s="23" customFormat="1" ht="12.75"/>
    <row r="1640" s="23" customFormat="1" ht="12.75"/>
    <row r="1641" s="23" customFormat="1" ht="12.75"/>
    <row r="1642" s="23" customFormat="1" ht="12.75"/>
    <row r="1643" s="23" customFormat="1" ht="12.75"/>
    <row r="1644" s="23" customFormat="1" ht="12.75"/>
    <row r="1645" s="23" customFormat="1" ht="12.75"/>
    <row r="1646" s="23" customFormat="1" ht="12.75"/>
    <row r="1647" s="23" customFormat="1" ht="12.75"/>
    <row r="1648" s="23" customFormat="1" ht="12.75"/>
    <row r="1649" s="23" customFormat="1" ht="12.75"/>
    <row r="1650" s="23" customFormat="1" ht="12.75"/>
    <row r="1651" s="23" customFormat="1" ht="12.75"/>
    <row r="1652" s="23" customFormat="1" ht="12.75"/>
    <row r="1653" s="23" customFormat="1" ht="12.75"/>
    <row r="1654" s="23" customFormat="1" ht="12.75"/>
    <row r="1655" s="23" customFormat="1" ht="12.75"/>
    <row r="1656" s="23" customFormat="1" ht="12.75"/>
    <row r="1657" s="23" customFormat="1" ht="12.75"/>
    <row r="1658" s="23" customFormat="1" ht="12.75"/>
    <row r="1659" s="23" customFormat="1" ht="12.75"/>
    <row r="1660" s="23" customFormat="1" ht="12.75"/>
    <row r="1661" s="23" customFormat="1" ht="12.75"/>
    <row r="1662" s="23" customFormat="1" ht="12.75"/>
    <row r="1663" s="23" customFormat="1" ht="12.75"/>
    <row r="1664" s="23" customFormat="1" ht="12.75"/>
    <row r="1665" s="23" customFormat="1" ht="12.75"/>
    <row r="1666" s="23" customFormat="1" ht="12.75"/>
    <row r="1667" s="23" customFormat="1" ht="12.75"/>
    <row r="1668" s="23" customFormat="1" ht="12.75"/>
    <row r="1669" s="23" customFormat="1" ht="12.75"/>
    <row r="1670" s="23" customFormat="1" ht="12.75"/>
    <row r="1671" s="23" customFormat="1" ht="12.75"/>
    <row r="1672" s="23" customFormat="1" ht="12.75"/>
    <row r="1673" s="23" customFormat="1" ht="12.75"/>
    <row r="1674" s="23" customFormat="1" ht="12.75"/>
    <row r="1675" s="23" customFormat="1" ht="12.75"/>
    <row r="1676" s="23" customFormat="1" ht="12.75"/>
    <row r="1677" s="23" customFormat="1" ht="12.75"/>
    <row r="1678" s="23" customFormat="1" ht="12.75"/>
    <row r="1679" s="23" customFormat="1" ht="12.75"/>
    <row r="1680" s="23" customFormat="1" ht="12.75"/>
    <row r="1681" s="23" customFormat="1" ht="12.75"/>
    <row r="1682" s="23" customFormat="1" ht="12.75"/>
    <row r="1683" s="23" customFormat="1" ht="12.75"/>
    <row r="1684" s="23" customFormat="1" ht="12.75"/>
    <row r="1685" s="23" customFormat="1" ht="12.75"/>
    <row r="1686" s="23" customFormat="1" ht="12.75"/>
    <row r="1687" s="23" customFormat="1" ht="12.75"/>
    <row r="1688" s="23" customFormat="1" ht="12.75"/>
    <row r="1689" s="23" customFormat="1" ht="12.75"/>
    <row r="1690" s="23" customFormat="1" ht="12.75"/>
    <row r="1691" s="23" customFormat="1" ht="12.75"/>
    <row r="1692" s="23" customFormat="1" ht="12.75"/>
    <row r="1693" s="23" customFormat="1" ht="12.75"/>
    <row r="1694" s="23" customFormat="1" ht="12.75"/>
    <row r="1695" s="23" customFormat="1" ht="12.75"/>
    <row r="1696" s="23" customFormat="1" ht="12.75"/>
    <row r="1697" s="23" customFormat="1" ht="12.75"/>
    <row r="1698" s="23" customFormat="1" ht="12.75"/>
    <row r="1699" s="23" customFormat="1" ht="12.75"/>
    <row r="1700" s="23" customFormat="1" ht="12.75"/>
    <row r="1701" s="23" customFormat="1" ht="12.75"/>
    <row r="1702" s="23" customFormat="1" ht="12.75"/>
    <row r="1703" s="23" customFormat="1" ht="12.75"/>
    <row r="1704" s="23" customFormat="1" ht="12.75"/>
    <row r="1705" s="23" customFormat="1" ht="12.75"/>
    <row r="1706" s="23" customFormat="1" ht="12.75"/>
    <row r="1707" s="23" customFormat="1" ht="12.75"/>
    <row r="1708" s="23" customFormat="1" ht="12.75"/>
    <row r="1709" s="23" customFormat="1" ht="12.75"/>
    <row r="1710" s="23" customFormat="1" ht="12.75"/>
    <row r="1711" s="23" customFormat="1" ht="12.75"/>
    <row r="1712" s="23" customFormat="1" ht="12.75"/>
    <row r="1713" s="23" customFormat="1" ht="12.75"/>
    <row r="1714" s="23" customFormat="1" ht="12.75"/>
    <row r="1715" s="23" customFormat="1" ht="12.75"/>
    <row r="1716" s="23" customFormat="1" ht="12.75"/>
    <row r="1717" s="23" customFormat="1" ht="12.75"/>
    <row r="1718" s="23" customFormat="1" ht="12.75"/>
    <row r="1719" s="23" customFormat="1" ht="12.75"/>
    <row r="1720" s="23" customFormat="1" ht="12.75"/>
    <row r="1721" s="23" customFormat="1" ht="12.75"/>
    <row r="1722" s="23" customFormat="1" ht="12.75"/>
    <row r="1723" s="23" customFormat="1" ht="12.75"/>
    <row r="1724" s="23" customFormat="1" ht="12.75"/>
    <row r="1725" s="23" customFormat="1" ht="12.75"/>
    <row r="1726" s="23" customFormat="1" ht="12.75"/>
    <row r="1727" s="23" customFormat="1" ht="12.75"/>
    <row r="1728" s="23" customFormat="1" ht="12.75"/>
    <row r="1729" s="23" customFormat="1" ht="12.75"/>
    <row r="1730" s="23" customFormat="1" ht="12.75"/>
    <row r="1731" s="23" customFormat="1" ht="12.75"/>
    <row r="1732" s="23" customFormat="1" ht="12.75"/>
    <row r="1733" s="23" customFormat="1" ht="12.75"/>
    <row r="1734" s="23" customFormat="1" ht="12.75"/>
    <row r="1735" s="23" customFormat="1" ht="12.75"/>
    <row r="1736" s="23" customFormat="1" ht="12.75"/>
    <row r="1737" s="23" customFormat="1" ht="12.75"/>
    <row r="1738" s="23" customFormat="1" ht="12.75"/>
    <row r="1739" s="23" customFormat="1" ht="12.75"/>
    <row r="1740" s="23" customFormat="1" ht="12.75"/>
    <row r="1741" s="23" customFormat="1" ht="12.75"/>
    <row r="1742" s="23" customFormat="1" ht="12.75"/>
    <row r="1743" s="23" customFormat="1" ht="12.75"/>
    <row r="1744" s="23" customFormat="1" ht="12.75"/>
    <row r="1745" s="23" customFormat="1" ht="12.75"/>
    <row r="1746" s="23" customFormat="1" ht="12.75"/>
    <row r="1747" s="23" customFormat="1" ht="12.75"/>
    <row r="1748" s="23" customFormat="1" ht="12.75"/>
    <row r="1749" s="23" customFormat="1" ht="12.75"/>
    <row r="1750" s="23" customFormat="1" ht="12.75"/>
    <row r="1751" s="23" customFormat="1" ht="12.75"/>
    <row r="1752" s="23" customFormat="1" ht="12.75"/>
    <row r="1753" s="23" customFormat="1" ht="12.75"/>
    <row r="1754" s="23" customFormat="1" ht="12.75"/>
    <row r="1755" s="23" customFormat="1" ht="12.75"/>
    <row r="1756" s="23" customFormat="1" ht="12.75"/>
    <row r="1757" s="23" customFormat="1" ht="12.75"/>
    <row r="1758" s="23" customFormat="1" ht="12.75"/>
    <row r="1759" s="23" customFormat="1" ht="12.75"/>
    <row r="1760" s="23" customFormat="1" ht="12.75"/>
    <row r="1761" s="23" customFormat="1" ht="12.75"/>
    <row r="1762" s="23" customFormat="1" ht="12.75"/>
    <row r="1763" s="23" customFormat="1" ht="12.75"/>
    <row r="1764" s="23" customFormat="1" ht="12.75"/>
    <row r="1765" s="23" customFormat="1" ht="12.75"/>
    <row r="1766" s="23" customFormat="1" ht="12.75"/>
    <row r="1767" s="23" customFormat="1" ht="12.75"/>
    <row r="1768" s="23" customFormat="1" ht="12.75"/>
    <row r="1769" s="23" customFormat="1" ht="12.75"/>
    <row r="1770" s="23" customFormat="1" ht="12.75"/>
    <row r="1771" s="23" customFormat="1" ht="12.75"/>
    <row r="1772" s="23" customFormat="1" ht="12.75"/>
    <row r="1773" s="23" customFormat="1" ht="12.75"/>
    <row r="1774" s="23" customFormat="1" ht="12.75"/>
    <row r="1775" s="23" customFormat="1" ht="12.75"/>
    <row r="1776" s="23" customFormat="1" ht="12.75"/>
    <row r="1777" s="23" customFormat="1" ht="12.75"/>
    <row r="1778" s="23" customFormat="1" ht="12.75"/>
    <row r="1779" s="23" customFormat="1" ht="12.75"/>
    <row r="1780" s="23" customFormat="1" ht="12.75"/>
    <row r="1781" s="23" customFormat="1" ht="12.75"/>
    <row r="1782" s="23" customFormat="1" ht="12.75"/>
    <row r="1783" s="23" customFormat="1" ht="12.75"/>
    <row r="1784" s="23" customFormat="1" ht="12.75"/>
    <row r="1785" s="23" customFormat="1" ht="12.75"/>
    <row r="1786" s="23" customFormat="1" ht="12.75"/>
    <row r="1787" s="23" customFormat="1" ht="12.75"/>
    <row r="1788" s="23" customFormat="1" ht="12.75"/>
    <row r="1789" s="23" customFormat="1" ht="12.75"/>
    <row r="1790" s="23" customFormat="1" ht="12.75"/>
    <row r="1791" s="23" customFormat="1" ht="12.75"/>
    <row r="1792" s="23" customFormat="1" ht="12.75"/>
    <row r="1793" s="23" customFormat="1" ht="12.75"/>
    <row r="1794" s="23" customFormat="1" ht="12.75"/>
    <row r="1795" s="23" customFormat="1" ht="12.75"/>
    <row r="1796" s="23" customFormat="1" ht="12.75"/>
    <row r="1797" s="23" customFormat="1" ht="12.75"/>
    <row r="1798" s="23" customFormat="1" ht="12.75"/>
    <row r="1799" s="23" customFormat="1" ht="12.75"/>
    <row r="1800" s="23" customFormat="1" ht="12.75"/>
    <row r="1801" s="23" customFormat="1" ht="12.75"/>
    <row r="1802" s="23" customFormat="1" ht="12.75"/>
    <row r="1803" s="23" customFormat="1" ht="12.75"/>
    <row r="1804" s="23" customFormat="1" ht="12.75"/>
    <row r="1805" s="23" customFormat="1" ht="12.75"/>
    <row r="1806" s="23" customFormat="1" ht="12.75"/>
    <row r="1807" s="23" customFormat="1" ht="12.75"/>
    <row r="1808" s="23" customFormat="1" ht="12.75"/>
    <row r="1809" s="23" customFormat="1" ht="12.75"/>
    <row r="1810" s="23" customFormat="1" ht="12.75"/>
    <row r="1811" s="23" customFormat="1" ht="12.75"/>
    <row r="1812" s="23" customFormat="1" ht="12.75"/>
    <row r="1813" s="23" customFormat="1" ht="12.75"/>
    <row r="1814" s="23" customFormat="1" ht="12.75"/>
    <row r="1815" s="23" customFormat="1" ht="12.75"/>
    <row r="1816" s="23" customFormat="1" ht="12.75"/>
    <row r="1817" s="23" customFormat="1" ht="12.75"/>
    <row r="1818" s="23" customFormat="1" ht="12.75"/>
    <row r="1819" s="23" customFormat="1" ht="12.75"/>
    <row r="1820" s="23" customFormat="1" ht="12.75"/>
    <row r="1821" s="23" customFormat="1" ht="12.75"/>
    <row r="1822" s="23" customFormat="1" ht="12.75"/>
    <row r="1823" s="23" customFormat="1" ht="12.75"/>
    <row r="1824" s="23" customFormat="1" ht="12.75"/>
    <row r="1825" s="23" customFormat="1" ht="12.75"/>
    <row r="1826" s="23" customFormat="1" ht="12.75"/>
    <row r="1827" s="23" customFormat="1" ht="12.75"/>
    <row r="1828" s="23" customFormat="1" ht="12.75"/>
    <row r="1829" s="23" customFormat="1" ht="12.75"/>
    <row r="1830" s="23" customFormat="1" ht="12.75"/>
    <row r="1831" s="23" customFormat="1" ht="12.75"/>
    <row r="1832" s="23" customFormat="1" ht="12.75"/>
    <row r="1833" s="23" customFormat="1" ht="12.75"/>
    <row r="1834" s="23" customFormat="1" ht="12.75"/>
    <row r="1835" s="23" customFormat="1" ht="12.75"/>
    <row r="1836" s="23" customFormat="1" ht="12.75"/>
    <row r="1837" s="23" customFormat="1" ht="12.75"/>
    <row r="1838" s="23" customFormat="1" ht="12.75"/>
    <row r="1839" s="23" customFormat="1" ht="12.75"/>
    <row r="1840" s="23" customFormat="1" ht="12.75"/>
    <row r="1841" s="23" customFormat="1" ht="12.75"/>
    <row r="1842" s="23" customFormat="1" ht="12.75"/>
    <row r="1843" s="23" customFormat="1" ht="12.75"/>
    <row r="1844" s="23" customFormat="1" ht="12.75"/>
    <row r="1845" s="23" customFormat="1" ht="12.75"/>
    <row r="1846" s="23" customFormat="1" ht="12.75"/>
    <row r="1847" s="23" customFormat="1" ht="12.75"/>
    <row r="1848" s="23" customFormat="1" ht="12.75"/>
    <row r="1849" s="23" customFormat="1" ht="12.75"/>
    <row r="1850" s="23" customFormat="1" ht="12.75"/>
    <row r="1851" s="23" customFormat="1" ht="12.75"/>
    <row r="1852" s="23" customFormat="1" ht="12.75"/>
    <row r="1853" s="23" customFormat="1" ht="12.75"/>
    <row r="1854" s="23" customFormat="1" ht="12.75"/>
    <row r="1855" s="23" customFormat="1" ht="12.75"/>
    <row r="1856" s="23" customFormat="1" ht="12.75"/>
    <row r="1857" s="23" customFormat="1" ht="12.75"/>
    <row r="1858" s="23" customFormat="1" ht="12.75"/>
    <row r="1859" s="23" customFormat="1" ht="12.75"/>
    <row r="1860" s="23" customFormat="1" ht="12.75"/>
    <row r="1861" s="23" customFormat="1" ht="12.75"/>
    <row r="1862" s="23" customFormat="1" ht="12.75"/>
    <row r="1863" s="23" customFormat="1" ht="12.75"/>
    <row r="1864" s="23" customFormat="1" ht="12.75"/>
    <row r="1865" s="23" customFormat="1" ht="12.75"/>
    <row r="1866" s="23" customFormat="1" ht="12.75"/>
    <row r="1867" s="23" customFormat="1" ht="12.75"/>
    <row r="1868" s="23" customFormat="1" ht="12.75"/>
    <row r="1869" s="23" customFormat="1" ht="12.75"/>
    <row r="1870" s="23" customFormat="1" ht="12.75"/>
    <row r="1871" s="23" customFormat="1" ht="12.75"/>
    <row r="1872" s="23" customFormat="1" ht="12.75"/>
    <row r="1873" s="23" customFormat="1" ht="12.75"/>
    <row r="1874" s="23" customFormat="1" ht="12.75"/>
    <row r="1875" s="23" customFormat="1" ht="12.75"/>
    <row r="1876" s="23" customFormat="1" ht="12.75"/>
    <row r="1877" s="23" customFormat="1" ht="12.75"/>
    <row r="1878" s="23" customFormat="1" ht="12.75"/>
    <row r="1879" s="23" customFormat="1" ht="12.75"/>
    <row r="1880" s="23" customFormat="1" ht="12.75"/>
    <row r="1881" s="23" customFormat="1" ht="12.75"/>
    <row r="1882" s="23" customFormat="1" ht="12.75"/>
    <row r="1883" s="23" customFormat="1" ht="12.75"/>
    <row r="1884" s="23" customFormat="1" ht="12.75"/>
    <row r="1885" s="23" customFormat="1" ht="12.75"/>
    <row r="1886" s="23" customFormat="1" ht="12.75"/>
    <row r="1887" s="23" customFormat="1" ht="12.75"/>
    <row r="1888" s="23" customFormat="1" ht="12.75"/>
    <row r="1889" s="23" customFormat="1" ht="12.75"/>
    <row r="1890" s="23" customFormat="1" ht="12.75"/>
    <row r="1891" s="23" customFormat="1" ht="12.75"/>
    <row r="1892" s="23" customFormat="1" ht="12.75"/>
    <row r="1893" s="23" customFormat="1" ht="12.75"/>
    <row r="1894" s="23" customFormat="1" ht="12.75"/>
    <row r="1895" s="23" customFormat="1" ht="12.75"/>
    <row r="1896" s="23" customFormat="1" ht="12.75"/>
    <row r="1897" s="23" customFormat="1" ht="12.75"/>
    <row r="1898" s="23" customFormat="1" ht="12.75"/>
    <row r="1899" s="23" customFormat="1" ht="12.75"/>
    <row r="1900" s="23" customFormat="1" ht="12.75"/>
    <row r="1901" s="23" customFormat="1" ht="12.75"/>
    <row r="1902" s="23" customFormat="1" ht="12.75"/>
    <row r="1903" s="23" customFormat="1" ht="12.75"/>
    <row r="1904" s="23" customFormat="1" ht="12.75"/>
    <row r="1905" s="23" customFormat="1" ht="12.75"/>
    <row r="1906" s="23" customFormat="1" ht="12.75"/>
    <row r="1907" s="23" customFormat="1" ht="12.75"/>
    <row r="1908" s="23" customFormat="1" ht="12.75"/>
    <row r="1909" s="23" customFormat="1" ht="12.75"/>
    <row r="1910" s="23" customFormat="1" ht="12.75"/>
    <row r="1911" s="23" customFormat="1" ht="12.75"/>
    <row r="1912" s="23" customFormat="1" ht="12.75"/>
    <row r="1913" s="23" customFormat="1" ht="12.75"/>
    <row r="1914" s="23" customFormat="1" ht="12.75"/>
    <row r="1915" s="23" customFormat="1" ht="12.75"/>
    <row r="1916" s="23" customFormat="1" ht="12.75"/>
    <row r="1917" s="23" customFormat="1" ht="12.75"/>
    <row r="1918" s="23" customFormat="1" ht="12.75"/>
    <row r="1919" s="23" customFormat="1" ht="12.75"/>
    <row r="1920" s="23" customFormat="1" ht="12.75"/>
    <row r="1921" s="23" customFormat="1" ht="12.75"/>
    <row r="1922" s="23" customFormat="1" ht="12.75"/>
    <row r="1923" s="23" customFormat="1" ht="12.75"/>
    <row r="1924" s="23" customFormat="1" ht="12.75"/>
    <row r="1925" s="23" customFormat="1" ht="12.75"/>
    <row r="1926" s="23" customFormat="1" ht="12.75"/>
    <row r="1927" s="23" customFormat="1" ht="12.75"/>
    <row r="1928" s="23" customFormat="1" ht="12.75"/>
    <row r="1929" s="23" customFormat="1" ht="12.75"/>
    <row r="1930" s="23" customFormat="1" ht="12.75"/>
    <row r="1931" s="23" customFormat="1" ht="12.75"/>
    <row r="1932" s="23" customFormat="1" ht="12.75"/>
    <row r="1933" s="23" customFormat="1" ht="12.75"/>
    <row r="1934" s="23" customFormat="1" ht="12.75"/>
    <row r="1935" s="23" customFormat="1" ht="12.75"/>
    <row r="1936" s="23" customFormat="1" ht="12.75"/>
    <row r="1937" s="23" customFormat="1" ht="12.75"/>
    <row r="1938" s="23" customFormat="1" ht="12.75"/>
    <row r="1939" s="23" customFormat="1" ht="12.75"/>
    <row r="1940" s="23" customFormat="1" ht="12.75"/>
    <row r="1941" s="23" customFormat="1" ht="12.75"/>
    <row r="1942" s="23" customFormat="1" ht="12.75"/>
    <row r="1943" s="23" customFormat="1" ht="12.75"/>
    <row r="1944" s="23" customFormat="1" ht="12.75"/>
    <row r="1945" s="23" customFormat="1" ht="12.75"/>
    <row r="1946" s="23" customFormat="1" ht="12.75"/>
    <row r="1947" s="23" customFormat="1" ht="12.75"/>
    <row r="1948" s="23" customFormat="1" ht="12.75"/>
    <row r="1949" s="23" customFormat="1" ht="12.75"/>
    <row r="1950" s="23" customFormat="1" ht="12.75"/>
    <row r="1951" s="23" customFormat="1" ht="12.75"/>
    <row r="1952" s="23" customFormat="1" ht="12.75"/>
    <row r="1953" s="23" customFormat="1" ht="12.75"/>
    <row r="1954" s="23" customFormat="1" ht="12.75"/>
    <row r="1955" s="23" customFormat="1" ht="12.75"/>
    <row r="1956" s="23" customFormat="1" ht="12.75"/>
    <row r="1957" s="23" customFormat="1" ht="12.75"/>
    <row r="1958" s="23" customFormat="1" ht="12.75"/>
    <row r="1959" s="23" customFormat="1" ht="12.75"/>
    <row r="1960" s="23" customFormat="1" ht="12.75"/>
    <row r="1961" s="23" customFormat="1" ht="12.75"/>
    <row r="1962" s="23" customFormat="1" ht="12.75"/>
    <row r="1963" s="23" customFormat="1" ht="12.75"/>
    <row r="1964" s="23" customFormat="1" ht="12.75"/>
    <row r="1965" s="23" customFormat="1" ht="12.75"/>
    <row r="1966" s="23" customFormat="1" ht="12.75"/>
    <row r="1967" s="23" customFormat="1" ht="12.75"/>
    <row r="1968" s="23" customFormat="1" ht="12.75"/>
    <row r="1969" s="23" customFormat="1" ht="12.75"/>
    <row r="1970" s="23" customFormat="1" ht="12.75"/>
    <row r="1971" s="23" customFormat="1" ht="12.75"/>
    <row r="1972" s="23" customFormat="1" ht="12.75"/>
    <row r="1973" s="23" customFormat="1" ht="12.75"/>
    <row r="1974" s="23" customFormat="1" ht="12.75"/>
    <row r="1975" s="23" customFormat="1" ht="12.75"/>
    <row r="1976" s="23" customFormat="1" ht="12.75"/>
    <row r="1977" s="23" customFormat="1" ht="12.75"/>
    <row r="1978" s="23" customFormat="1" ht="12.75"/>
    <row r="1979" s="23" customFormat="1" ht="12.75"/>
    <row r="1980" s="23" customFormat="1" ht="12.75"/>
    <row r="1981" s="23" customFormat="1" ht="12.75"/>
    <row r="1982" s="23" customFormat="1" ht="12.75"/>
    <row r="1983" s="23" customFormat="1" ht="12.75"/>
    <row r="1984" s="23" customFormat="1" ht="12.75"/>
    <row r="1985" s="23" customFormat="1" ht="12.75"/>
    <row r="1986" s="23" customFormat="1" ht="12.75"/>
    <row r="1987" s="23" customFormat="1" ht="12.75"/>
    <row r="1988" s="23" customFormat="1" ht="12.75"/>
    <row r="1989" s="23" customFormat="1" ht="12.75"/>
    <row r="1990" s="23" customFormat="1" ht="12.75"/>
    <row r="1991" s="23" customFormat="1" ht="12.75"/>
    <row r="1992" s="23" customFormat="1" ht="12.75"/>
    <row r="1993" s="23" customFormat="1" ht="12.75"/>
    <row r="1994" s="23" customFormat="1" ht="12.75"/>
    <row r="1995" s="23" customFormat="1" ht="12.75"/>
    <row r="1996" s="23" customFormat="1" ht="12.75"/>
    <row r="1997" s="23" customFormat="1" ht="12.75"/>
    <row r="1998" s="23" customFormat="1" ht="12.75"/>
    <row r="1999" s="23" customFormat="1" ht="12.75"/>
    <row r="2000" s="23" customFormat="1" ht="12.75"/>
    <row r="2001" s="23" customFormat="1" ht="12.75"/>
    <row r="2002" s="23" customFormat="1" ht="12.75"/>
    <row r="2003" s="23" customFormat="1" ht="12.75"/>
    <row r="2004" s="23" customFormat="1" ht="12.75"/>
    <row r="2005" s="23" customFormat="1" ht="12.75"/>
    <row r="2006" s="23" customFormat="1" ht="12.75"/>
    <row r="2007" s="23" customFormat="1" ht="12.75"/>
    <row r="2008" s="23" customFormat="1" ht="12.75"/>
    <row r="2009" s="23" customFormat="1" ht="12.75"/>
    <row r="2010" s="23" customFormat="1" ht="12.75"/>
    <row r="2011" s="23" customFormat="1" ht="12.75"/>
    <row r="2012" s="23" customFormat="1" ht="12.75"/>
    <row r="2013" s="23" customFormat="1" ht="12.75"/>
    <row r="2014" s="23" customFormat="1" ht="12.75"/>
    <row r="2015" s="23" customFormat="1" ht="12.75"/>
    <row r="2016" s="23" customFormat="1" ht="12.75"/>
    <row r="2017" s="23" customFormat="1" ht="12.75"/>
    <row r="2018" s="23" customFormat="1" ht="12.75"/>
    <row r="2019" s="23" customFormat="1" ht="12.75"/>
    <row r="2020" s="23" customFormat="1" ht="12.75"/>
    <row r="2021" s="23" customFormat="1" ht="12.75"/>
    <row r="2022" s="23" customFormat="1" ht="12.75"/>
    <row r="2023" s="23" customFormat="1" ht="12.75"/>
    <row r="2024" s="23" customFormat="1" ht="12.75"/>
    <row r="2025" s="23" customFormat="1" ht="12.75"/>
    <row r="2026" s="23" customFormat="1" ht="12.75"/>
    <row r="2027" s="23" customFormat="1" ht="12.75"/>
    <row r="2028" s="23" customFormat="1" ht="12.75"/>
    <row r="2029" s="23" customFormat="1" ht="12.75"/>
    <row r="2030" s="23" customFormat="1" ht="12.75"/>
    <row r="2031" s="23" customFormat="1" ht="12.75"/>
    <row r="2032" s="23" customFormat="1" ht="12.75"/>
    <row r="2033" s="23" customFormat="1" ht="12.75"/>
    <row r="2034" s="23" customFormat="1" ht="12.75"/>
    <row r="2035" s="23" customFormat="1" ht="12.75"/>
    <row r="2036" s="23" customFormat="1" ht="12.75"/>
    <row r="2037" s="23" customFormat="1" ht="12.75"/>
    <row r="2038" s="23" customFormat="1" ht="12.75"/>
    <row r="2039" s="23" customFormat="1" ht="12.75"/>
    <row r="2040" s="23" customFormat="1" ht="12.75"/>
    <row r="2041" s="23" customFormat="1" ht="12.75"/>
    <row r="2042" s="23" customFormat="1" ht="12.75"/>
    <row r="2043" s="23" customFormat="1" ht="12.75"/>
    <row r="2044" s="23" customFormat="1" ht="12.75"/>
    <row r="2045" s="23" customFormat="1" ht="12.75"/>
    <row r="2046" s="23" customFormat="1" ht="12.75"/>
    <row r="2047" s="23" customFormat="1" ht="12.75"/>
    <row r="2048" s="23" customFormat="1" ht="12.75"/>
    <row r="2049" s="23" customFormat="1" ht="12.75"/>
    <row r="2050" s="23" customFormat="1" ht="12.75"/>
    <row r="2051" s="23" customFormat="1" ht="12.75"/>
    <row r="2052" s="23" customFormat="1" ht="12.75"/>
    <row r="2053" s="23" customFormat="1" ht="12.75"/>
    <row r="2054" s="23" customFormat="1" ht="12.75"/>
    <row r="2055" s="23" customFormat="1" ht="12.75"/>
    <row r="2056" s="23" customFormat="1" ht="12.75"/>
    <row r="2057" s="23" customFormat="1" ht="12.75"/>
    <row r="2058" s="23" customFormat="1" ht="12.75"/>
    <row r="2059" s="23" customFormat="1" ht="12.75"/>
    <row r="2060" s="23" customFormat="1" ht="12.75"/>
    <row r="2061" s="23" customFormat="1" ht="12.75"/>
    <row r="2062" s="23" customFormat="1" ht="12.75"/>
    <row r="2063" s="23" customFormat="1" ht="12.75"/>
    <row r="2064" s="23" customFormat="1" ht="12.75"/>
    <row r="2065" s="23" customFormat="1" ht="12.75"/>
    <row r="2066" s="23" customFormat="1" ht="12.75"/>
    <row r="2067" s="23" customFormat="1" ht="12.75"/>
    <row r="2068" s="23" customFormat="1" ht="12.75"/>
    <row r="2069" s="23" customFormat="1" ht="12.75"/>
    <row r="2070" s="23" customFormat="1" ht="12.75"/>
    <row r="2071" s="23" customFormat="1" ht="12.75"/>
    <row r="2072" s="23" customFormat="1" ht="12.75"/>
    <row r="2073" s="23" customFormat="1" ht="12.75"/>
    <row r="2074" s="23" customFormat="1" ht="12.75"/>
    <row r="2075" s="23" customFormat="1" ht="12.75"/>
    <row r="2076" s="23" customFormat="1" ht="12.75"/>
    <row r="2077" s="23" customFormat="1" ht="12.75"/>
    <row r="2078" s="23" customFormat="1" ht="12.75"/>
    <row r="2079" s="23" customFormat="1" ht="12.75"/>
    <row r="2080" s="23" customFormat="1" ht="12.75"/>
    <row r="2081" s="23" customFormat="1" ht="12.75"/>
    <row r="2082" s="23" customFormat="1" ht="12.75"/>
    <row r="2083" s="23" customFormat="1" ht="12.75"/>
    <row r="2084" s="23" customFormat="1" ht="12.75"/>
    <row r="2085" s="23" customFormat="1" ht="12.75"/>
    <row r="2086" s="23" customFormat="1" ht="12.75"/>
    <row r="2087" s="23" customFormat="1" ht="12.75"/>
    <row r="2088" s="23" customFormat="1" ht="12.75"/>
    <row r="2089" s="23" customFormat="1" ht="12.75"/>
    <row r="2090" s="23" customFormat="1" ht="12.75"/>
    <row r="2091" s="23" customFormat="1" ht="12.75"/>
    <row r="2092" s="23" customFormat="1" ht="12.75"/>
    <row r="2093" s="23" customFormat="1" ht="12.75"/>
    <row r="2094" s="23" customFormat="1" ht="12.75"/>
    <row r="2095" s="23" customFormat="1" ht="12.75"/>
    <row r="2096" s="23" customFormat="1" ht="12.75"/>
    <row r="2097" s="23" customFormat="1" ht="12.75"/>
    <row r="2098" s="23" customFormat="1" ht="12.75"/>
    <row r="2099" s="23" customFormat="1" ht="12.75"/>
    <row r="2100" s="23" customFormat="1" ht="12.75"/>
    <row r="2101" s="23" customFormat="1" ht="12.75"/>
    <row r="2102" s="23" customFormat="1" ht="12.75"/>
    <row r="2103" s="23" customFormat="1" ht="12.75"/>
    <row r="2104" s="23" customFormat="1" ht="12.75"/>
    <row r="2105" s="23" customFormat="1" ht="12.75"/>
    <row r="2106" s="23" customFormat="1" ht="12.75"/>
    <row r="2107" s="23" customFormat="1" ht="12.75"/>
    <row r="2108" s="23" customFormat="1" ht="12.75"/>
    <row r="2109" s="23" customFormat="1" ht="12.75"/>
    <row r="2110" s="23" customFormat="1" ht="12.75"/>
    <row r="2111" s="23" customFormat="1" ht="12.75"/>
    <row r="2112" s="23" customFormat="1" ht="12.75"/>
    <row r="2113" s="23" customFormat="1" ht="12.75"/>
    <row r="2114" s="23" customFormat="1" ht="12.75"/>
    <row r="2115" s="23" customFormat="1" ht="12.75"/>
    <row r="2116" s="23" customFormat="1" ht="12.75"/>
    <row r="2117" s="23" customFormat="1" ht="12.75"/>
    <row r="2118" s="23" customFormat="1" ht="12.75"/>
    <row r="2119" s="23" customFormat="1" ht="12.75"/>
    <row r="2120" s="23" customFormat="1" ht="12.75"/>
    <row r="2121" s="23" customFormat="1" ht="12.75"/>
    <row r="2122" s="23" customFormat="1" ht="12.75"/>
    <row r="2123" s="23" customFormat="1" ht="12.75"/>
    <row r="2124" s="23" customFormat="1" ht="12.75"/>
    <row r="2125" s="23" customFormat="1" ht="12.75"/>
    <row r="2126" s="23" customFormat="1" ht="12.75"/>
    <row r="2127" s="23" customFormat="1" ht="12.75"/>
    <row r="2128" s="23" customFormat="1" ht="12.75"/>
    <row r="2129" s="23" customFormat="1" ht="12.75"/>
    <row r="2130" s="23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="23" customFormat="1" ht="12.75"/>
    <row r="2296" s="23" customFormat="1" ht="12.75"/>
    <row r="2297" s="23" customFormat="1" ht="12.75"/>
    <row r="2298" s="23" customFormat="1" ht="12.75"/>
    <row r="2299" s="23" customFormat="1" ht="12.75"/>
    <row r="2300" s="23" customFormat="1" ht="12.75"/>
    <row r="2301" s="23" customFormat="1" ht="12.75"/>
    <row r="2302" s="23" customFormat="1" ht="12.75"/>
    <row r="2303" s="23" customFormat="1" ht="12.75"/>
    <row r="2304" s="23" customFormat="1" ht="12.75"/>
    <row r="2305" s="23" customFormat="1" ht="12.75"/>
    <row r="2306" s="23" customFormat="1" ht="12.75"/>
    <row r="2307" s="23" customFormat="1" ht="12.75"/>
    <row r="2308" s="23" customFormat="1" ht="12.75"/>
    <row r="2309" s="23" customFormat="1" ht="12.75"/>
    <row r="2310" s="23" customFormat="1" ht="12.75"/>
    <row r="2311" s="23" customFormat="1" ht="12.75"/>
    <row r="2312" s="23" customFormat="1" ht="12.75"/>
    <row r="2313" s="23" customFormat="1" ht="12.75"/>
    <row r="2314" s="23" customFormat="1" ht="12.75"/>
    <row r="2315" s="23" customFormat="1" ht="12.75"/>
    <row r="2316" s="23" customFormat="1" ht="12.75"/>
    <row r="2317" s="23" customFormat="1" ht="12.75"/>
    <row r="2318" s="23" customFormat="1" ht="12.75"/>
    <row r="2319" s="23" customFormat="1" ht="12.75"/>
    <row r="2320" s="23" customFormat="1" ht="12.75"/>
    <row r="2321" s="23" customFormat="1" ht="12.75"/>
    <row r="2322" s="23" customFormat="1" ht="12.75"/>
    <row r="2323" s="23" customFormat="1" ht="12.75"/>
    <row r="2324" s="23" customFormat="1" ht="12.75"/>
    <row r="2325" s="23" customFormat="1" ht="12.75"/>
    <row r="2326" s="23" customFormat="1" ht="12.75"/>
    <row r="2327" s="23" customFormat="1" ht="12.75"/>
    <row r="2328" s="23" customFormat="1" ht="12.75"/>
    <row r="2329" s="23" customFormat="1" ht="12.75"/>
    <row r="2330" s="23" customFormat="1" ht="12.75"/>
    <row r="2331" s="23" customFormat="1" ht="12.75"/>
    <row r="2332" s="23" customFormat="1" ht="12.75"/>
    <row r="2333" s="23" customFormat="1" ht="12.75"/>
    <row r="2334" s="23" customFormat="1" ht="12.75"/>
    <row r="2335" s="23" customFormat="1" ht="12.75"/>
    <row r="2336" s="23" customFormat="1" ht="12.75"/>
    <row r="2337" s="23" customFormat="1" ht="12.75"/>
    <row r="2338" s="23" customFormat="1" ht="12.75"/>
    <row r="2339" s="23" customFormat="1" ht="12.75"/>
    <row r="2340" s="23" customFormat="1" ht="12.75"/>
    <row r="2341" s="23" customFormat="1" ht="12.75"/>
    <row r="2342" s="23" customFormat="1" ht="12.75"/>
    <row r="2343" s="23" customFormat="1" ht="12.75"/>
    <row r="2344" s="23" customFormat="1" ht="12.75"/>
    <row r="2345" s="23" customFormat="1" ht="12.75"/>
    <row r="2346" s="23" customFormat="1" ht="12.75"/>
    <row r="2347" s="23" customFormat="1" ht="12.75"/>
    <row r="2348" s="23" customFormat="1" ht="12.75"/>
    <row r="2349" s="23" customFormat="1" ht="12.75"/>
    <row r="2350" s="23" customFormat="1" ht="12.75"/>
    <row r="2351" s="23" customFormat="1" ht="12.75"/>
    <row r="2352" s="23" customFormat="1" ht="12.75"/>
    <row r="2353" s="23" customFormat="1" ht="12.75"/>
    <row r="2354" s="23" customFormat="1" ht="12.75"/>
    <row r="2355" s="23" customFormat="1" ht="12.75"/>
    <row r="2356" s="23" customFormat="1" ht="12.75"/>
    <row r="2357" s="23" customFormat="1" ht="12.75"/>
    <row r="2358" s="23" customFormat="1" ht="12.75"/>
    <row r="2359" s="23" customFormat="1" ht="12.75"/>
    <row r="2360" s="23" customFormat="1" ht="12.75"/>
    <row r="2361" s="23" customFormat="1" ht="12.75"/>
    <row r="2362" s="23" customFormat="1" ht="12.75"/>
    <row r="2363" s="23" customFormat="1" ht="12.75"/>
    <row r="2364" s="23" customFormat="1" ht="12.75"/>
    <row r="2365" s="23" customFormat="1" ht="12.75"/>
    <row r="2366" s="23" customFormat="1" ht="12.75"/>
    <row r="2367" s="23" customFormat="1" ht="12.75"/>
    <row r="2368" s="23" customFormat="1" ht="12.75"/>
    <row r="2369" s="23" customFormat="1" ht="12.75"/>
    <row r="2370" s="23" customFormat="1" ht="12.75"/>
    <row r="2371" s="23" customFormat="1" ht="12.75"/>
    <row r="2372" s="23" customFormat="1" ht="12.75"/>
    <row r="2373" s="23" customFormat="1" ht="12.75"/>
    <row r="2374" s="23" customFormat="1" ht="12.75"/>
    <row r="2375" s="23" customFormat="1" ht="12.75"/>
    <row r="2376" s="23" customFormat="1" ht="12.75"/>
    <row r="2377" s="23" customFormat="1" ht="12.75"/>
    <row r="2378" s="23" customFormat="1" ht="12.75"/>
    <row r="2379" s="23" customFormat="1" ht="12.75"/>
    <row r="2380" s="23" customFormat="1" ht="12.75"/>
    <row r="2381" s="23" customFormat="1" ht="12.75"/>
    <row r="2382" s="23" customFormat="1" ht="12.75"/>
    <row r="2383" s="23" customFormat="1" ht="12.75"/>
    <row r="2384" s="23" customFormat="1" ht="12.75"/>
    <row r="2385" s="23" customFormat="1" ht="12.75"/>
    <row r="2386" s="23" customFormat="1" ht="12.75"/>
    <row r="2387" s="23" customFormat="1" ht="12.75"/>
    <row r="2388" s="23" customFormat="1" ht="12.75"/>
    <row r="2389" s="23" customFormat="1" ht="12.75"/>
    <row r="2390" s="23" customFormat="1" ht="12.75"/>
    <row r="2391" s="23" customFormat="1" ht="12.75"/>
    <row r="2392" s="23" customFormat="1" ht="12.75"/>
    <row r="2393" s="23" customFormat="1" ht="12.75"/>
    <row r="2394" s="23" customFormat="1" ht="12.75"/>
    <row r="2395" s="23" customFormat="1" ht="12.75"/>
    <row r="2396" s="23" customFormat="1" ht="12.75"/>
    <row r="2397" s="23" customFormat="1" ht="12.75"/>
    <row r="2398" s="23" customFormat="1" ht="12.75"/>
    <row r="2399" s="23" customFormat="1" ht="12.75"/>
    <row r="2400" s="23" customFormat="1" ht="12.75"/>
    <row r="2401" s="23" customFormat="1" ht="12.75"/>
    <row r="2402" s="23" customFormat="1" ht="12.75"/>
    <row r="2403" s="23" customFormat="1" ht="12.75"/>
    <row r="2404" s="23" customFormat="1" ht="12.75"/>
    <row r="2405" s="23" customFormat="1" ht="12.75"/>
    <row r="2406" s="23" customFormat="1" ht="12.75"/>
    <row r="2407" s="23" customFormat="1" ht="12.75"/>
    <row r="2408" s="23" customFormat="1" ht="12.75"/>
    <row r="2409" s="23" customFormat="1" ht="12.75"/>
    <row r="2410" s="23" customFormat="1" ht="12.75"/>
    <row r="2411" s="23" customFormat="1" ht="12.75"/>
    <row r="2412" s="23" customFormat="1" ht="12.75"/>
    <row r="2413" s="23" customFormat="1" ht="12.75"/>
    <row r="2414" s="23" customFormat="1" ht="12.75"/>
    <row r="2415" s="23" customFormat="1" ht="12.75"/>
    <row r="2416" s="23" customFormat="1" ht="12.75"/>
    <row r="2417" s="23" customFormat="1" ht="12.75"/>
    <row r="2418" s="23" customFormat="1" ht="12.75"/>
    <row r="2419" s="23" customFormat="1" ht="12.75"/>
    <row r="2420" s="23" customFormat="1" ht="12.75"/>
    <row r="2421" s="23" customFormat="1" ht="12.75"/>
    <row r="2422" s="23" customFormat="1" ht="12.75"/>
    <row r="2423" s="23" customFormat="1" ht="12.75"/>
    <row r="2424" s="23" customFormat="1" ht="12.75"/>
    <row r="2425" s="23" customFormat="1" ht="12.75"/>
    <row r="2426" s="23" customFormat="1" ht="12.75"/>
    <row r="2427" s="23" customFormat="1" ht="12.75"/>
    <row r="2428" s="23" customFormat="1" ht="12.75"/>
    <row r="2429" s="23" customFormat="1" ht="12.75"/>
    <row r="2430" s="23" customFormat="1" ht="12.75"/>
    <row r="2431" s="23" customFormat="1" ht="12.75"/>
    <row r="2432" s="23" customFormat="1" ht="12.75"/>
    <row r="2433" s="23" customFormat="1" ht="12.75"/>
    <row r="2434" s="23" customFormat="1" ht="12.75"/>
    <row r="2435" s="23" customFormat="1" ht="12.75"/>
    <row r="2436" s="23" customFormat="1" ht="12.75"/>
    <row r="2437" s="23" customFormat="1" ht="12.75"/>
    <row r="2438" s="23" customFormat="1" ht="12.75"/>
    <row r="2439" s="23" customFormat="1" ht="12.75"/>
    <row r="2440" s="23" customFormat="1" ht="12.75"/>
    <row r="2441" s="23" customFormat="1" ht="12.75"/>
    <row r="2442" s="23" customFormat="1" ht="12.75"/>
    <row r="2443" s="23" customFormat="1" ht="12.75"/>
    <row r="2444" s="23" customFormat="1" ht="12.75"/>
    <row r="2445" s="23" customFormat="1" ht="12.75"/>
    <row r="2446" s="23" customFormat="1" ht="12.75"/>
    <row r="2447" s="23" customFormat="1" ht="12.75"/>
    <row r="2448" s="23" customFormat="1" ht="12.75"/>
    <row r="2449" s="23" customFormat="1" ht="12.75"/>
    <row r="2450" s="23" customFormat="1" ht="12.75"/>
    <row r="2451" s="23" customFormat="1" ht="12.75"/>
    <row r="2452" s="23" customFormat="1" ht="12.75"/>
    <row r="2453" s="23" customFormat="1" ht="12.75"/>
    <row r="2454" s="23" customFormat="1" ht="12.75"/>
    <row r="2455" s="23" customFormat="1" ht="12.75"/>
    <row r="2456" s="23" customFormat="1" ht="12.75"/>
    <row r="2457" s="23" customFormat="1" ht="12.75"/>
    <row r="2458" s="23" customFormat="1" ht="12.75"/>
    <row r="2459" s="23" customFormat="1" ht="12.75"/>
    <row r="2460" s="23" customFormat="1" ht="12.75"/>
    <row r="2461" s="23" customFormat="1" ht="12.75"/>
    <row r="2462" s="23" customFormat="1" ht="12.75"/>
    <row r="2463" s="23" customFormat="1" ht="12.75"/>
    <row r="2464" s="23" customFormat="1" ht="12.75"/>
    <row r="2465" s="23" customFormat="1" ht="12.75"/>
    <row r="2466" s="23" customFormat="1" ht="12.75"/>
    <row r="2467" s="23" customFormat="1" ht="12.75"/>
    <row r="2468" s="23" customFormat="1" ht="12.75"/>
    <row r="2469" s="23" customFormat="1" ht="12.75"/>
    <row r="2470" s="23" customFormat="1" ht="12.75"/>
    <row r="2471" s="23" customFormat="1" ht="12.75"/>
    <row r="2472" s="23" customFormat="1" ht="12.75"/>
    <row r="2473" s="23" customFormat="1" ht="12.75"/>
    <row r="2474" s="23" customFormat="1" ht="12.75"/>
    <row r="2475" s="23" customFormat="1" ht="12.75"/>
    <row r="2476" s="23" customFormat="1" ht="12.75"/>
    <row r="2477" s="23" customFormat="1" ht="12.75"/>
    <row r="2478" s="23" customFormat="1" ht="12.75"/>
    <row r="2479" s="23" customFormat="1" ht="12.75"/>
    <row r="2480" s="23" customFormat="1" ht="12.75"/>
    <row r="2481" s="23" customFormat="1" ht="12.75"/>
    <row r="2482" s="23" customFormat="1" ht="12.75"/>
    <row r="2483" s="23" customFormat="1" ht="12.75"/>
    <row r="2484" s="23" customFormat="1" ht="12.75"/>
    <row r="2485" s="23" customFormat="1" ht="12.75"/>
    <row r="2486" s="23" customFormat="1" ht="12.75"/>
    <row r="2487" s="23" customFormat="1" ht="12.75"/>
    <row r="2488" s="23" customFormat="1" ht="12.75"/>
    <row r="2489" s="23" customFormat="1" ht="12.75"/>
    <row r="2490" s="23" customFormat="1" ht="12.75"/>
    <row r="2491" s="23" customFormat="1" ht="12.75"/>
    <row r="2492" s="23" customFormat="1" ht="12.75"/>
    <row r="2493" s="23" customFormat="1" ht="12.75"/>
    <row r="2494" s="23" customFormat="1" ht="12.75"/>
    <row r="2495" s="23" customFormat="1" ht="12.75"/>
    <row r="2496" s="23" customFormat="1" ht="12.75"/>
    <row r="2497" s="23" customFormat="1" ht="12.75"/>
    <row r="2498" s="23" customFormat="1" ht="12.75"/>
    <row r="2499" s="23" customFormat="1" ht="12.75"/>
    <row r="2500" s="23" customFormat="1" ht="12.75"/>
    <row r="2501" s="23" customFormat="1" ht="12.75"/>
    <row r="2502" s="23" customFormat="1" ht="12.75"/>
    <row r="2503" s="23" customFormat="1" ht="12.75"/>
    <row r="2504" s="23" customFormat="1" ht="12.75"/>
    <row r="2505" s="23" customFormat="1" ht="12.75"/>
    <row r="2506" s="23" customFormat="1" ht="12.75"/>
    <row r="2507" s="23" customFormat="1" ht="12.75"/>
    <row r="2508" s="23" customFormat="1" ht="12.75"/>
    <row r="2509" s="23" customFormat="1" ht="12.75"/>
    <row r="2510" s="23" customFormat="1" ht="12.75"/>
    <row r="2511" s="23" customFormat="1" ht="12.75"/>
    <row r="2512" s="23" customFormat="1" ht="12.75"/>
    <row r="2513" s="23" customFormat="1" ht="12.75"/>
    <row r="2514" s="23" customFormat="1" ht="12.75"/>
    <row r="2515" s="23" customFormat="1" ht="12.75"/>
    <row r="2516" s="23" customFormat="1" ht="12.75"/>
    <row r="2517" s="23" customFormat="1" ht="12.75"/>
    <row r="2518" s="23" customFormat="1" ht="12.75"/>
    <row r="2519" s="23" customFormat="1" ht="12.75"/>
    <row r="2520" s="23" customFormat="1" ht="12.75"/>
    <row r="2521" s="23" customFormat="1" ht="12.75"/>
    <row r="2522" s="23" customFormat="1" ht="12.75"/>
    <row r="2523" s="23" customFormat="1" ht="12.75"/>
    <row r="2524" s="23" customFormat="1" ht="12.75"/>
    <row r="2525" s="23" customFormat="1" ht="12.75"/>
    <row r="2526" s="23" customFormat="1" ht="12.75"/>
    <row r="2527" s="23" customFormat="1" ht="12.75"/>
    <row r="2528" s="23" customFormat="1" ht="12.75"/>
    <row r="2529" s="23" customFormat="1" ht="12.75"/>
    <row r="2530" s="23" customFormat="1" ht="12.75"/>
    <row r="2531" s="23" customFormat="1" ht="12.75"/>
    <row r="2532" s="23" customFormat="1" ht="12.75"/>
    <row r="2533" s="23" customFormat="1" ht="12.75"/>
    <row r="2534" s="23" customFormat="1" ht="12.75"/>
    <row r="2535" s="23" customFormat="1" ht="12.75"/>
    <row r="2536" s="23" customFormat="1" ht="12.75"/>
    <row r="2537" s="23" customFormat="1" ht="12.75"/>
    <row r="2538" s="23" customFormat="1" ht="12.75"/>
    <row r="2539" s="23" customFormat="1" ht="12.75"/>
    <row r="2540" s="23" customFormat="1" ht="12.75"/>
    <row r="2541" s="23" customFormat="1" ht="12.75"/>
    <row r="2542" s="23" customFormat="1" ht="12.75"/>
    <row r="2543" s="23" customFormat="1" ht="12.75"/>
    <row r="2544" s="23" customFormat="1" ht="12.75"/>
    <row r="2545" s="23" customFormat="1" ht="12.75"/>
    <row r="2546" s="23" customFormat="1" ht="12.75"/>
    <row r="2547" s="23" customFormat="1" ht="12.75"/>
    <row r="2548" s="23" customFormat="1" ht="12.75"/>
    <row r="2549" s="23" customFormat="1" ht="12.75"/>
    <row r="2550" s="23" customFormat="1" ht="12.75"/>
    <row r="2551" s="23" customFormat="1" ht="12.75"/>
    <row r="2552" s="23" customFormat="1" ht="12.75"/>
    <row r="2553" s="23" customFormat="1" ht="12.75"/>
    <row r="2554" s="23" customFormat="1" ht="12.75"/>
    <row r="2555" s="23" customFormat="1" ht="12.75"/>
    <row r="2556" s="23" customFormat="1" ht="12.75"/>
    <row r="2557" s="23" customFormat="1" ht="12.75"/>
    <row r="2558" s="23" customFormat="1" ht="12.75"/>
    <row r="2559" s="23" customFormat="1" ht="12.75"/>
    <row r="2560" s="23" customFormat="1" ht="12.75"/>
    <row r="2561" s="23" customFormat="1" ht="12.75"/>
    <row r="2562" s="23" customFormat="1" ht="12.75"/>
    <row r="2563" s="23" customFormat="1" ht="12.75"/>
    <row r="2564" s="23" customFormat="1" ht="12.75"/>
    <row r="2565" s="23" customFormat="1" ht="12.75"/>
    <row r="2566" s="23" customFormat="1" ht="12.75"/>
    <row r="2567" s="23" customFormat="1" ht="12.75"/>
    <row r="2568" s="23" customFormat="1" ht="12.75"/>
    <row r="2569" s="23" customFormat="1" ht="12.75"/>
    <row r="2570" s="23" customFormat="1" ht="12.75"/>
    <row r="2571" s="23" customFormat="1" ht="12.75"/>
    <row r="2572" s="23" customFormat="1" ht="12.75"/>
    <row r="2573" s="23" customFormat="1" ht="12.75"/>
    <row r="2574" s="23" customFormat="1" ht="12.75"/>
    <row r="2575" s="23" customFormat="1" ht="12.75"/>
    <row r="2576" s="23" customFormat="1" ht="12.75"/>
    <row r="2577" s="23" customFormat="1" ht="12.75"/>
    <row r="2578" s="23" customFormat="1" ht="12.75"/>
    <row r="2579" s="23" customFormat="1" ht="12.75"/>
    <row r="2580" s="23" customFormat="1" ht="12.75"/>
    <row r="2581" s="23" customFormat="1" ht="12.75"/>
    <row r="2582" s="23" customFormat="1" ht="12.75"/>
    <row r="2583" s="23" customFormat="1" ht="12.75"/>
    <row r="2584" s="23" customFormat="1" ht="12.75"/>
    <row r="2585" s="23" customFormat="1" ht="12.75"/>
    <row r="2586" s="23" customFormat="1" ht="12.75"/>
    <row r="2587" s="23" customFormat="1" ht="12.75"/>
    <row r="2588" s="23" customFormat="1" ht="12.75"/>
    <row r="2589" s="23" customFormat="1" ht="12.75"/>
    <row r="2590" s="23" customFormat="1" ht="12.75"/>
    <row r="2591" s="23" customFormat="1" ht="12.75"/>
    <row r="2592" s="23" customFormat="1" ht="12.75"/>
    <row r="2593" s="23" customFormat="1" ht="12.75"/>
    <row r="2594" s="23" customFormat="1" ht="12.75"/>
    <row r="2595" s="23" customFormat="1" ht="12.75"/>
    <row r="2596" s="23" customFormat="1" ht="12.75"/>
    <row r="2597" s="23" customFormat="1" ht="12.75"/>
    <row r="2598" s="23" customFormat="1" ht="12.75"/>
    <row r="2599" s="23" customFormat="1" ht="12.75"/>
    <row r="2600" s="23" customFormat="1" ht="12.75"/>
    <row r="2601" s="23" customFormat="1" ht="12.75"/>
    <row r="2602" s="23" customFormat="1" ht="12.75"/>
    <row r="2603" s="23" customFormat="1" ht="12.75"/>
    <row r="2604" s="23" customFormat="1" ht="12.75"/>
    <row r="2605" s="23" customFormat="1" ht="12.75"/>
    <row r="2606" s="23" customFormat="1" ht="12.75"/>
    <row r="2607" s="23" customFormat="1" ht="12.75"/>
    <row r="2608" s="23" customFormat="1" ht="12.75"/>
    <row r="2609" s="23" customFormat="1" ht="12.75"/>
    <row r="2610" s="23" customFormat="1" ht="12.75"/>
    <row r="2611" s="23" customFormat="1" ht="12.75"/>
    <row r="2612" s="23" customFormat="1" ht="12.75"/>
    <row r="2613" s="23" customFormat="1" ht="12.75"/>
    <row r="2614" s="23" customFormat="1" ht="12.75"/>
    <row r="2615" s="23" customFormat="1" ht="12.75"/>
    <row r="2616" s="23" customFormat="1" ht="12.75"/>
    <row r="2617" s="23" customFormat="1" ht="12.75"/>
    <row r="2618" s="23" customFormat="1" ht="12.75"/>
    <row r="2619" s="23" customFormat="1" ht="12.75"/>
    <row r="2620" s="23" customFormat="1" ht="12.75"/>
    <row r="2621" s="23" customFormat="1" ht="12.75"/>
    <row r="2622" s="23" customFormat="1" ht="12.75"/>
    <row r="2623" s="23" customFormat="1" ht="12.75"/>
    <row r="2624" s="23" customFormat="1" ht="12.75"/>
    <row r="2625" s="23" customFormat="1" ht="12.75"/>
    <row r="2626" s="23" customFormat="1" ht="12.75"/>
    <row r="2627" s="23" customFormat="1" ht="12.75"/>
    <row r="2628" s="23" customFormat="1" ht="12.75"/>
    <row r="2629" s="23" customFormat="1" ht="12.75"/>
    <row r="2630" s="23" customFormat="1" ht="12.75"/>
    <row r="2631" s="23" customFormat="1" ht="12.75"/>
    <row r="2632" s="23" customFormat="1" ht="12.75"/>
    <row r="2633" s="23" customFormat="1" ht="12.75"/>
    <row r="2634" s="23" customFormat="1" ht="12.75"/>
    <row r="2635" s="23" customFormat="1" ht="12.75"/>
    <row r="2636" s="23" customFormat="1" ht="12.75"/>
    <row r="2637" s="23" customFormat="1" ht="12.75"/>
    <row r="2638" s="23" customFormat="1" ht="12.75"/>
    <row r="2639" s="23" customFormat="1" ht="12.75"/>
    <row r="2640" s="23" customFormat="1" ht="12.75"/>
    <row r="2641" s="23" customFormat="1" ht="12.75"/>
    <row r="2642" s="23" customFormat="1" ht="12.75"/>
    <row r="2643" s="23" customFormat="1" ht="12.75"/>
    <row r="2644" s="23" customFormat="1" ht="12.75"/>
    <row r="2645" s="23" customFormat="1" ht="12.75"/>
    <row r="2646" s="23" customFormat="1" ht="12.75"/>
    <row r="2647" s="23" customFormat="1" ht="12.75"/>
    <row r="2648" s="23" customFormat="1" ht="12.75"/>
    <row r="2649" s="23" customFormat="1" ht="12.75"/>
    <row r="2650" s="23" customFormat="1" ht="12.75"/>
    <row r="2651" s="23" customFormat="1" ht="12.75"/>
    <row r="2652" s="23" customFormat="1" ht="12.75"/>
    <row r="2653" s="23" customFormat="1" ht="12.75"/>
    <row r="2654" s="23" customFormat="1" ht="12.75"/>
    <row r="2655" s="23" customFormat="1" ht="12.75"/>
    <row r="2656" s="23" customFormat="1" ht="12.75"/>
    <row r="2657" s="23" customFormat="1" ht="12.75"/>
    <row r="2658" s="23" customFormat="1" ht="12.75"/>
    <row r="2659" s="23" customFormat="1" ht="12.75"/>
    <row r="2660" s="23" customFormat="1" ht="12.75"/>
    <row r="2661" s="23" customFormat="1" ht="12.75"/>
    <row r="2662" s="23" customFormat="1" ht="12.75"/>
    <row r="2663" s="23" customFormat="1" ht="12.75"/>
    <row r="2664" s="23" customFormat="1" ht="12.75"/>
    <row r="2665" s="23" customFormat="1" ht="12.75"/>
    <row r="2666" s="23" customFormat="1" ht="12.75"/>
    <row r="2667" s="23" customFormat="1" ht="12.75"/>
    <row r="2668" s="23" customFormat="1" ht="12.75"/>
    <row r="2669" s="23" customFormat="1" ht="12.75"/>
    <row r="2670" s="23" customFormat="1" ht="12.75"/>
    <row r="2671" s="23" customFormat="1" ht="12.75"/>
    <row r="2672" s="23" customFormat="1" ht="12.75"/>
    <row r="2673" s="23" customFormat="1" ht="12.75"/>
    <row r="2674" s="23" customFormat="1" ht="12.75"/>
    <row r="2675" s="23" customFormat="1" ht="12.75"/>
    <row r="2676" s="23" customFormat="1" ht="12.75"/>
    <row r="2677" s="23" customFormat="1" ht="12.75"/>
    <row r="2678" s="23" customFormat="1" ht="12.75"/>
    <row r="2679" s="23" customFormat="1" ht="12.75"/>
    <row r="2680" s="23" customFormat="1" ht="12.75"/>
    <row r="2681" s="23" customFormat="1" ht="12.75"/>
    <row r="2682" s="23" customFormat="1" ht="12.75"/>
    <row r="2683" s="23" customFormat="1" ht="12.75"/>
    <row r="2684" s="23" customFormat="1" ht="12.75"/>
    <row r="2685" s="23" customFormat="1" ht="12.75"/>
    <row r="2686" s="23" customFormat="1" ht="12.75"/>
    <row r="2687" s="23" customFormat="1" ht="12.75"/>
    <row r="2688" s="23" customFormat="1" ht="12.75"/>
    <row r="2689" s="23" customFormat="1" ht="12.75"/>
    <row r="2690" s="23" customFormat="1" ht="12.75"/>
    <row r="2691" s="23" customFormat="1" ht="12.75"/>
    <row r="2692" s="23" customFormat="1" ht="12.75"/>
    <row r="2693" s="23" customFormat="1" ht="12.75"/>
    <row r="2694" s="23" customFormat="1" ht="12.75"/>
    <row r="2695" s="23" customFormat="1" ht="12.75"/>
    <row r="2696" s="23" customFormat="1" ht="12.75"/>
    <row r="2697" s="23" customFormat="1" ht="12.75"/>
    <row r="2698" s="23" customFormat="1" ht="12.75"/>
    <row r="2699" s="23" customFormat="1" ht="12.75"/>
    <row r="2700" s="23" customFormat="1" ht="12.75"/>
    <row r="2701" s="23" customFormat="1" ht="12.75"/>
    <row r="2702" s="23" customFormat="1" ht="12.75"/>
    <row r="2703" s="23" customFormat="1" ht="12.75"/>
    <row r="2704" s="23" customFormat="1" ht="12.75"/>
    <row r="2705" s="23" customFormat="1" ht="12.75"/>
    <row r="2706" s="23" customFormat="1" ht="12.75"/>
    <row r="2707" s="23" customFormat="1" ht="12.75"/>
    <row r="2708" s="23" customFormat="1" ht="12.75"/>
    <row r="2709" s="23" customFormat="1" ht="12.75"/>
    <row r="2710" s="23" customFormat="1" ht="12.75"/>
    <row r="2711" s="23" customFormat="1" ht="12.75"/>
    <row r="2712" s="23" customFormat="1" ht="12.75"/>
    <row r="2713" s="23" customFormat="1" ht="12.75"/>
    <row r="2714" s="23" customFormat="1" ht="12.75"/>
    <row r="2715" s="23" customFormat="1" ht="12.75"/>
    <row r="2716" s="23" customFormat="1" ht="12.75"/>
    <row r="2717" s="23" customFormat="1" ht="12.75"/>
    <row r="2718" s="23" customFormat="1" ht="12.75"/>
    <row r="2719" s="23" customFormat="1" ht="12.75"/>
    <row r="2720" s="23" customFormat="1" ht="12.75"/>
    <row r="2721" s="23" customFormat="1" ht="12.75"/>
    <row r="2722" s="23" customFormat="1" ht="12.75"/>
    <row r="2723" s="23" customFormat="1" ht="12.75"/>
    <row r="2724" s="23" customFormat="1" ht="12.75"/>
    <row r="2725" s="23" customFormat="1" ht="12.75"/>
    <row r="2726" s="23" customFormat="1" ht="12.75"/>
    <row r="2727" s="23" customFormat="1" ht="12.75"/>
    <row r="2728" s="23" customFormat="1" ht="12.75"/>
    <row r="2729" s="23" customFormat="1" ht="12.75"/>
    <row r="2730" s="23" customFormat="1" ht="12.75"/>
    <row r="2731" s="23" customFormat="1" ht="12.75"/>
    <row r="2732" s="23" customFormat="1" ht="12.75"/>
    <row r="2733" s="23" customFormat="1" ht="12.75"/>
    <row r="2734" s="23" customFormat="1" ht="12.75"/>
    <row r="2735" s="23" customFormat="1" ht="12.75"/>
    <row r="2736" s="23" customFormat="1" ht="12.75"/>
    <row r="2737" s="23" customFormat="1" ht="12.75"/>
    <row r="2738" s="23" customFormat="1" ht="12.75"/>
    <row r="2739" s="23" customFormat="1" ht="12.75"/>
    <row r="2740" s="23" customFormat="1" ht="12.75"/>
    <row r="2741" s="23" customFormat="1" ht="12.75"/>
    <row r="2742" s="23" customFormat="1" ht="12.75"/>
    <row r="2743" s="23" customFormat="1" ht="12.75"/>
    <row r="2744" s="23" customFormat="1" ht="12.75"/>
    <row r="2745" s="23" customFormat="1" ht="12.75"/>
    <row r="2746" s="23" customFormat="1" ht="12.75"/>
    <row r="2747" s="23" customFormat="1" ht="12.75"/>
    <row r="2748" s="23" customFormat="1" ht="12.75"/>
    <row r="2749" s="23" customFormat="1" ht="12.75"/>
    <row r="2750" s="23" customFormat="1" ht="12.75"/>
    <row r="2751" s="23" customFormat="1" ht="12.75"/>
    <row r="2752" s="23" customFormat="1" ht="12.75"/>
    <row r="2753" s="23" customFormat="1" ht="12.75"/>
    <row r="2754" s="23" customFormat="1" ht="12.75"/>
    <row r="2755" s="23" customFormat="1" ht="12.75"/>
    <row r="2756" s="23" customFormat="1" ht="12.75"/>
    <row r="2757" s="23" customFormat="1" ht="12.75"/>
    <row r="2758" s="23" customFormat="1" ht="12.75"/>
    <row r="2759" s="23" customFormat="1" ht="12.75"/>
    <row r="2760" s="23" customFormat="1" ht="12.75"/>
    <row r="2761" s="23" customFormat="1" ht="12.75"/>
    <row r="2762" s="23" customFormat="1" ht="12.75"/>
    <row r="2763" s="23" customFormat="1" ht="12.75"/>
    <row r="2764" s="23" customFormat="1" ht="12.75"/>
    <row r="2765" s="23" customFormat="1" ht="12.75"/>
    <row r="2766" s="23" customFormat="1" ht="12.75"/>
    <row r="2767" s="23" customFormat="1" ht="12.75"/>
    <row r="2768" s="23" customFormat="1" ht="12.75"/>
    <row r="2769" s="23" customFormat="1" ht="12.75"/>
    <row r="2770" s="23" customFormat="1" ht="12.75"/>
    <row r="2771" s="23" customFormat="1" ht="12.75"/>
    <row r="2772" s="23" customFormat="1" ht="12.75"/>
    <row r="2773" s="23" customFormat="1" ht="12.75"/>
    <row r="2774" s="23" customFormat="1" ht="12.75"/>
    <row r="2775" s="23" customFormat="1" ht="12.75"/>
    <row r="2776" s="23" customFormat="1" ht="12.75"/>
    <row r="2777" s="23" customFormat="1" ht="12.75"/>
    <row r="2778" s="23" customFormat="1" ht="12.75"/>
    <row r="2779" s="23" customFormat="1" ht="12.75"/>
    <row r="2780" s="23" customFormat="1" ht="12.75"/>
    <row r="2781" s="23" customFormat="1" ht="12.75"/>
    <row r="2782" s="23" customFormat="1" ht="12.75"/>
    <row r="2783" s="23" customFormat="1" ht="12.75"/>
    <row r="2784" s="23" customFormat="1" ht="12.75"/>
    <row r="2785" s="23" customFormat="1" ht="12.75"/>
    <row r="2786" s="23" customFormat="1" ht="12.75"/>
    <row r="2787" s="23" customFormat="1" ht="12.75"/>
    <row r="2788" s="23" customFormat="1" ht="12.75"/>
    <row r="2789" s="23" customFormat="1" ht="12.75"/>
    <row r="2790" s="23" customFormat="1" ht="12.75"/>
    <row r="2791" s="23" customFormat="1" ht="12.75"/>
    <row r="2792" s="23" customFormat="1" ht="12.75"/>
    <row r="2793" s="23" customFormat="1" ht="12.75"/>
    <row r="2794" s="23" customFormat="1" ht="12.75"/>
    <row r="2795" s="23" customFormat="1" ht="12.75"/>
    <row r="2796" s="23" customFormat="1" ht="12.75"/>
    <row r="2797" s="23" customFormat="1" ht="12.75"/>
    <row r="2798" s="23" customFormat="1" ht="12.75"/>
    <row r="2799" s="23" customFormat="1" ht="12.75"/>
    <row r="2800" s="23" customFormat="1" ht="12.75"/>
    <row r="2801" s="23" customFormat="1" ht="12.75"/>
    <row r="2802" s="23" customFormat="1" ht="12.75"/>
    <row r="2803" s="23" customFormat="1" ht="12.75"/>
    <row r="2804" s="23" customFormat="1" ht="12.75"/>
    <row r="2805" s="23" customFormat="1" ht="12.75"/>
    <row r="2806" s="23" customFormat="1" ht="12.75"/>
    <row r="2807" s="23" customFormat="1" ht="12.75"/>
    <row r="2808" s="23" customFormat="1" ht="12.75"/>
    <row r="2809" s="23" customFormat="1" ht="12.75"/>
    <row r="2810" s="23" customFormat="1" ht="12.75"/>
    <row r="2811" s="23" customFormat="1" ht="12.75"/>
    <row r="2812" s="23" customFormat="1" ht="12.75"/>
    <row r="2813" s="23" customFormat="1" ht="12.75"/>
    <row r="2814" s="23" customFormat="1" ht="12.75"/>
    <row r="2815" s="23" customFormat="1" ht="12.75"/>
    <row r="2816" s="23" customFormat="1" ht="12.75"/>
    <row r="2817" s="23" customFormat="1" ht="12.75"/>
    <row r="2818" s="23" customFormat="1" ht="12.75"/>
    <row r="2819" s="23" customFormat="1" ht="12.75"/>
    <row r="2820" s="23" customFormat="1" ht="12.75"/>
    <row r="2821" s="23" customFormat="1" ht="12.75"/>
    <row r="2822" s="23" customFormat="1" ht="12.75"/>
    <row r="2823" s="23" customFormat="1" ht="12.75"/>
    <row r="2824" s="23" customFormat="1" ht="12.75"/>
    <row r="2825" s="23" customFormat="1" ht="12.75"/>
    <row r="2826" s="23" customFormat="1" ht="12.75"/>
    <row r="2827" s="23" customFormat="1" ht="12.75"/>
    <row r="2828" s="23" customFormat="1" ht="12.75"/>
    <row r="2829" s="23" customFormat="1" ht="12.75"/>
    <row r="2830" s="23" customFormat="1" ht="12.75"/>
    <row r="2831" s="23" customFormat="1" ht="12.75"/>
    <row r="2832" s="23" customFormat="1" ht="12.75"/>
    <row r="2833" s="23" customFormat="1" ht="12.75"/>
    <row r="2834" s="23" customFormat="1" ht="12.75"/>
    <row r="2835" s="23" customFormat="1" ht="12.75"/>
    <row r="2836" s="23" customFormat="1" ht="12.75"/>
    <row r="2837" s="23" customFormat="1" ht="12.75"/>
    <row r="2838" s="23" customFormat="1" ht="12.75"/>
    <row r="2839" s="23" customFormat="1" ht="12.75"/>
    <row r="2840" s="23" customFormat="1" ht="12.75"/>
    <row r="2841" s="23" customFormat="1" ht="12.75"/>
    <row r="2842" s="23" customFormat="1" ht="12.75"/>
    <row r="2843" s="23" customFormat="1" ht="12.75"/>
    <row r="2844" s="23" customFormat="1" ht="12.75"/>
    <row r="2845" s="23" customFormat="1" ht="12.75"/>
    <row r="2846" s="23" customFormat="1" ht="12.75"/>
    <row r="2847" s="23" customFormat="1" ht="12.75"/>
    <row r="2848" s="23" customFormat="1" ht="12.75"/>
    <row r="2849" s="23" customFormat="1" ht="12.75"/>
    <row r="2850" s="23" customFormat="1" ht="12.75"/>
    <row r="2851" s="23" customFormat="1" ht="12.75"/>
    <row r="2852" s="23" customFormat="1" ht="12.75"/>
    <row r="2853" s="23" customFormat="1" ht="12.75"/>
    <row r="2854" s="23" customFormat="1" ht="12.75"/>
    <row r="2855" s="23" customFormat="1" ht="12.75"/>
    <row r="2856" s="23" customFormat="1" ht="12.75"/>
    <row r="2857" s="23" customFormat="1" ht="12.75"/>
    <row r="2858" s="23" customFormat="1" ht="12.75"/>
    <row r="2859" s="23" customFormat="1" ht="12.75"/>
    <row r="2860" s="23" customFormat="1" ht="12.75"/>
    <row r="2861" s="23" customFormat="1" ht="12.75"/>
    <row r="2862" s="23" customFormat="1" ht="12.75"/>
    <row r="2863" s="23" customFormat="1" ht="12.75"/>
    <row r="2864" s="23" customFormat="1" ht="12.75"/>
    <row r="2865" s="23" customFormat="1" ht="12.75"/>
    <row r="2866" s="23" customFormat="1" ht="12.75"/>
    <row r="2867" s="23" customFormat="1" ht="12.75"/>
    <row r="2868" s="23" customFormat="1" ht="12.75"/>
    <row r="2869" s="23" customFormat="1" ht="12.75"/>
    <row r="2870" s="23" customFormat="1" ht="12.75"/>
    <row r="2871" s="23" customFormat="1" ht="12.75"/>
    <row r="2872" s="23" customFormat="1" ht="12.75"/>
    <row r="2873" s="23" customFormat="1" ht="12.75"/>
    <row r="2874" s="23" customFormat="1" ht="12.75"/>
    <row r="2875" s="23" customFormat="1" ht="12.75"/>
    <row r="2876" s="23" customFormat="1" ht="12.75"/>
    <row r="2877" s="23" customFormat="1" ht="12.75"/>
    <row r="2878" s="23" customFormat="1" ht="12.75"/>
    <row r="2879" s="23" customFormat="1" ht="12.75"/>
    <row r="2880" s="23" customFormat="1" ht="12.75"/>
    <row r="2881" s="23" customFormat="1" ht="12.75"/>
    <row r="2882" s="23" customFormat="1" ht="12.75"/>
    <row r="2883" s="23" customFormat="1" ht="12.75"/>
    <row r="2884" s="23" customFormat="1" ht="12.75"/>
    <row r="2885" s="23" customFormat="1" ht="12.75"/>
    <row r="2886" s="23" customFormat="1" ht="12.75"/>
    <row r="2887" s="23" customFormat="1" ht="12.75"/>
    <row r="2888" s="23" customFormat="1" ht="12.75"/>
    <row r="2889" s="23" customFormat="1" ht="12.75"/>
    <row r="2890" s="23" customFormat="1" ht="12.75"/>
    <row r="2891" s="23" customFormat="1" ht="12.75"/>
    <row r="2892" s="23" customFormat="1" ht="12.75"/>
    <row r="2893" s="23" customFormat="1" ht="12.75"/>
    <row r="2894" s="23" customFormat="1" ht="12.75"/>
    <row r="2895" s="23" customFormat="1" ht="12.75"/>
    <row r="2896" s="23" customFormat="1" ht="12.75"/>
    <row r="2897" s="23" customFormat="1" ht="12.75"/>
    <row r="2898" s="23" customFormat="1" ht="12.75"/>
    <row r="2899" s="23" customFormat="1" ht="12.75"/>
    <row r="2900" s="23" customFormat="1" ht="12.75"/>
    <row r="2901" s="23" customFormat="1" ht="12.75"/>
    <row r="2902" s="23" customFormat="1" ht="12.75"/>
    <row r="2903" s="23" customFormat="1" ht="12.75"/>
    <row r="2904" s="23" customFormat="1" ht="12.75"/>
    <row r="2905" s="23" customFormat="1" ht="12.75"/>
    <row r="2906" s="23" customFormat="1" ht="12.75"/>
    <row r="2907" s="23" customFormat="1" ht="12.75"/>
    <row r="2908" s="23" customFormat="1" ht="12.75"/>
    <row r="2909" s="23" customFormat="1" ht="12.75"/>
    <row r="2910" s="23" customFormat="1" ht="12.75"/>
    <row r="2911" s="23" customFormat="1" ht="12.75"/>
    <row r="2912" s="23" customFormat="1" ht="12.75"/>
    <row r="2913" s="23" customFormat="1" ht="12.75"/>
    <row r="2914" s="23" customFormat="1" ht="12.75"/>
    <row r="2915" s="23" customFormat="1" ht="12.75"/>
    <row r="2916" s="23" customFormat="1" ht="12.75"/>
    <row r="2917" s="23" customFormat="1" ht="12.75"/>
    <row r="2918" s="23" customFormat="1" ht="12.75"/>
    <row r="2919" s="23" customFormat="1" ht="12.75"/>
    <row r="2920" s="23" customFormat="1" ht="12.75"/>
    <row r="2921" s="23" customFormat="1" ht="12.75"/>
    <row r="2922" s="23" customFormat="1" ht="12.75"/>
    <row r="2923" s="23" customFormat="1" ht="12.75"/>
    <row r="2924" s="23" customFormat="1" ht="12.75"/>
    <row r="2925" s="23" customFormat="1" ht="12.75"/>
    <row r="2926" s="23" customFormat="1" ht="12.75"/>
    <row r="2927" s="23" customFormat="1" ht="12.75"/>
    <row r="2928" s="23" customFormat="1" ht="12.75"/>
    <row r="2929" s="23" customFormat="1" ht="12.75"/>
    <row r="2930" s="23" customFormat="1" ht="12.75"/>
    <row r="2931" s="23" customFormat="1" ht="12.75"/>
    <row r="2932" s="23" customFormat="1" ht="12.75"/>
    <row r="2933" s="23" customFormat="1" ht="12.75"/>
    <row r="2934" s="23" customFormat="1" ht="12.75"/>
    <row r="2935" s="23" customFormat="1" ht="12.75"/>
    <row r="2936" s="23" customFormat="1" ht="12.75"/>
    <row r="2937" s="23" customFormat="1" ht="12.75"/>
    <row r="2938" s="23" customFormat="1" ht="12.75"/>
    <row r="2939" s="23" customFormat="1" ht="12.75"/>
    <row r="2940" s="23" customFormat="1" ht="12.75"/>
    <row r="2941" s="23" customFormat="1" ht="12.75"/>
    <row r="2942" s="23" customFormat="1" ht="12.75"/>
    <row r="2943" s="23" customFormat="1" ht="12.75"/>
    <row r="2944" s="23" customFormat="1" ht="12.75"/>
    <row r="2945" s="23" customFormat="1" ht="12.75"/>
    <row r="2946" s="23" customFormat="1" ht="12.75"/>
    <row r="2947" s="23" customFormat="1" ht="12.75"/>
    <row r="2948" s="23" customFormat="1" ht="12.75"/>
    <row r="2949" s="23" customFormat="1" ht="12.75"/>
    <row r="2950" s="23" customFormat="1" ht="12.75"/>
    <row r="2951" s="23" customFormat="1" ht="12.75"/>
    <row r="2952" s="23" customFormat="1" ht="12.75"/>
    <row r="2953" s="23" customFormat="1" ht="12.75"/>
    <row r="2954" s="23" customFormat="1" ht="12.75"/>
    <row r="2955" s="23" customFormat="1" ht="12.75"/>
    <row r="2956" s="23" customFormat="1" ht="12.75"/>
    <row r="2957" s="23" customFormat="1" ht="12.75"/>
    <row r="2958" s="23" customFormat="1" ht="12.75"/>
    <row r="2959" s="23" customFormat="1" ht="12.75"/>
    <row r="2960" s="23" customFormat="1" ht="12.75"/>
    <row r="2961" s="23" customFormat="1" ht="12.75"/>
    <row r="2962" s="23" customFormat="1" ht="12.75"/>
    <row r="2963" s="23" customFormat="1" ht="12.75"/>
    <row r="2964" s="23" customFormat="1" ht="12.75"/>
    <row r="2965" s="23" customFormat="1" ht="12.75"/>
    <row r="2966" s="23" customFormat="1" ht="12.75"/>
    <row r="2967" s="23" customFormat="1" ht="12.75"/>
    <row r="2968" s="23" customFormat="1" ht="12.75"/>
    <row r="2969" s="23" customFormat="1" ht="12.75"/>
    <row r="2970" s="23" customFormat="1" ht="12.75"/>
    <row r="2971" s="23" customFormat="1" ht="12.75"/>
    <row r="2972" s="23" customFormat="1" ht="12.75"/>
    <row r="2973" s="23" customFormat="1" ht="12.75"/>
    <row r="2974" s="23" customFormat="1" ht="12.75"/>
    <row r="2975" s="23" customFormat="1" ht="12.75"/>
    <row r="2976" s="23" customFormat="1" ht="12.75"/>
    <row r="2977" s="23" customFormat="1" ht="12.75"/>
    <row r="2978" s="23" customFormat="1" ht="12.75"/>
    <row r="2979" s="23" customFormat="1" ht="12.75"/>
    <row r="2980" s="23" customFormat="1" ht="12.75"/>
    <row r="2981" s="23" customFormat="1" ht="12.75"/>
    <row r="2982" s="23" customFormat="1" ht="12.75"/>
    <row r="2983" s="23" customFormat="1" ht="12.75"/>
    <row r="2984" s="23" customFormat="1" ht="12.75"/>
    <row r="2985" s="23" customFormat="1" ht="12.75"/>
    <row r="2986" s="23" customFormat="1" ht="12.75"/>
    <row r="2987" s="23" customFormat="1" ht="12.75"/>
    <row r="2988" s="23" customFormat="1" ht="12.75"/>
    <row r="2989" s="23" customFormat="1" ht="12.75"/>
    <row r="2990" s="23" customFormat="1" ht="12.75"/>
    <row r="2991" s="23" customFormat="1" ht="12.75"/>
    <row r="2992" s="23" customFormat="1" ht="12.75"/>
    <row r="2993" s="23" customFormat="1" ht="12.75"/>
    <row r="2994" s="23" customFormat="1" ht="12.75"/>
    <row r="2995" s="23" customFormat="1" ht="12.75"/>
    <row r="2996" s="23" customFormat="1" ht="12.75"/>
    <row r="2997" s="23" customFormat="1" ht="12.75"/>
    <row r="2998" s="23" customFormat="1" ht="12.75"/>
    <row r="2999" s="23" customFormat="1" ht="12.75"/>
    <row r="3000" s="23" customFormat="1" ht="12.75"/>
    <row r="3001" s="23" customFormat="1" ht="12.75"/>
    <row r="3002" s="23" customFormat="1" ht="12.75"/>
    <row r="3003" s="23" customFormat="1" ht="12.75"/>
    <row r="3004" s="23" customFormat="1" ht="12.75"/>
    <row r="3005" s="23" customFormat="1" ht="12.75"/>
    <row r="3006" s="23" customFormat="1" ht="12.75"/>
    <row r="3007" s="23" customFormat="1" ht="12.75"/>
    <row r="3008" s="23" customFormat="1" ht="12.75"/>
    <row r="3009" s="23" customFormat="1" ht="12.75"/>
    <row r="3010" s="23" customFormat="1" ht="12.75"/>
    <row r="3011" s="23" customFormat="1" ht="12.75"/>
    <row r="3012" s="23" customFormat="1" ht="12.75"/>
    <row r="3013" s="23" customFormat="1" ht="12.75"/>
    <row r="3014" s="23" customFormat="1" ht="12.75"/>
    <row r="3015" s="23" customFormat="1" ht="12.75"/>
    <row r="3016" s="23" customFormat="1" ht="12.75"/>
    <row r="3017" s="23" customFormat="1" ht="12.75"/>
    <row r="3018" s="23" customFormat="1" ht="12.75"/>
    <row r="3019" s="23" customFormat="1" ht="12.75"/>
    <row r="3020" s="23" customFormat="1" ht="12.75"/>
    <row r="3021" s="23" customFormat="1" ht="12.75"/>
    <row r="3022" s="23" customFormat="1" ht="12.75"/>
    <row r="3023" s="23" customFormat="1" ht="12.75"/>
    <row r="3024" s="23" customFormat="1" ht="12.75"/>
    <row r="3025" s="23" customFormat="1" ht="12.75"/>
    <row r="3026" s="23" customFormat="1" ht="12.75"/>
    <row r="3027" s="23" customFormat="1" ht="12.75"/>
    <row r="3028" s="23" customFormat="1" ht="12.75"/>
    <row r="3029" s="23" customFormat="1" ht="12.75"/>
    <row r="3030" s="23" customFormat="1" ht="12.75"/>
    <row r="3031" s="23" customFormat="1" ht="12.75"/>
    <row r="3032" s="23" customFormat="1" ht="12.75"/>
    <row r="3033" s="23" customFormat="1" ht="12.75"/>
    <row r="3034" s="23" customFormat="1" ht="12.75"/>
    <row r="3035" s="23" customFormat="1" ht="12.75"/>
    <row r="3036" s="23" customFormat="1" ht="12.75"/>
    <row r="3037" s="23" customFormat="1" ht="12.75"/>
    <row r="3038" s="23" customFormat="1" ht="12.75"/>
    <row r="3039" s="23" customFormat="1" ht="12.75"/>
    <row r="3040" s="23" customFormat="1" ht="12.75"/>
    <row r="3041" s="23" customFormat="1" ht="12.75"/>
    <row r="3042" s="23" customFormat="1" ht="12.75"/>
    <row r="3043" s="23" customFormat="1" ht="12.75"/>
    <row r="3044" s="23" customFormat="1" ht="12.75"/>
    <row r="3045" s="23" customFormat="1" ht="12.75"/>
    <row r="3046" s="23" customFormat="1" ht="12.75"/>
    <row r="3047" s="23" customFormat="1" ht="12.75"/>
    <row r="3048" s="23" customFormat="1" ht="12.75"/>
    <row r="3049" s="23" customFormat="1" ht="12.75"/>
    <row r="3050" s="23" customFormat="1" ht="12.75"/>
    <row r="3051" s="23" customFormat="1" ht="12.75"/>
    <row r="3052" s="23" customFormat="1" ht="12.75"/>
    <row r="3053" s="23" customFormat="1" ht="12.75"/>
    <row r="3054" s="23" customFormat="1" ht="12.75"/>
    <row r="3055" s="23" customFormat="1" ht="12.75"/>
    <row r="3056" s="23" customFormat="1" ht="12.75"/>
    <row r="3057" s="23" customFormat="1" ht="12.75"/>
    <row r="3058" s="23" customFormat="1" ht="12.75"/>
    <row r="3059" s="23" customFormat="1" ht="12.75"/>
    <row r="3060" s="23" customFormat="1" ht="12.75"/>
    <row r="3061" s="23" customFormat="1" ht="12.75"/>
    <row r="3062" s="23" customFormat="1" ht="12.75"/>
    <row r="3063" s="23" customFormat="1" ht="12.75"/>
    <row r="3064" s="23" customFormat="1" ht="12.75"/>
    <row r="3065" s="23" customFormat="1" ht="12.75"/>
    <row r="3066" s="23" customFormat="1" ht="12.75"/>
    <row r="3067" s="23" customFormat="1" ht="12.75"/>
    <row r="3068" s="23" customFormat="1" ht="12.75"/>
    <row r="3069" s="23" customFormat="1" ht="12.75"/>
    <row r="3070" s="23" customFormat="1" ht="12.75"/>
    <row r="3071" s="23" customFormat="1" ht="12.75"/>
    <row r="3072" s="23" customFormat="1" ht="12.75"/>
    <row r="3073" s="23" customFormat="1" ht="12.75"/>
    <row r="3074" s="23" customFormat="1" ht="12.75"/>
    <row r="3075" s="23" customFormat="1" ht="12.75"/>
    <row r="3076" s="23" customFormat="1" ht="12.75"/>
    <row r="3077" s="23" customFormat="1" ht="12.75"/>
    <row r="3078" s="23" customFormat="1" ht="12.75"/>
    <row r="3079" s="23" customFormat="1" ht="12.75"/>
    <row r="3080" s="23" customFormat="1" ht="12.75"/>
    <row r="3081" s="23" customFormat="1" ht="12.75"/>
    <row r="3082" s="23" customFormat="1" ht="12.75"/>
    <row r="3083" s="23" customFormat="1" ht="12.75"/>
    <row r="3084" s="23" customFormat="1" ht="12.75"/>
    <row r="3085" s="23" customFormat="1" ht="12.75"/>
    <row r="3086" s="23" customFormat="1" ht="12.75"/>
    <row r="3087" s="23" customFormat="1" ht="12.75"/>
    <row r="3088" s="23" customFormat="1" ht="12.75"/>
    <row r="3089" s="23" customFormat="1" ht="12.75"/>
    <row r="3090" s="23" customFormat="1" ht="12.75"/>
    <row r="3091" s="23" customFormat="1" ht="12.75"/>
    <row r="3092" s="23" customFormat="1" ht="12.75"/>
    <row r="3093" s="23" customFormat="1" ht="12.75"/>
    <row r="3094" s="23" customFormat="1" ht="12.75"/>
    <row r="3095" s="23" customFormat="1" ht="12.75"/>
    <row r="3096" s="23" customFormat="1" ht="12.75"/>
    <row r="3097" s="23" customFormat="1" ht="12.75"/>
    <row r="3098" s="23" customFormat="1" ht="12.75"/>
    <row r="3099" s="23" customFormat="1" ht="12.75"/>
    <row r="3100" s="23" customFormat="1" ht="12.75"/>
    <row r="3101" s="23" customFormat="1" ht="12.75"/>
    <row r="3102" s="23" customFormat="1" ht="12.75"/>
    <row r="3103" s="23" customFormat="1" ht="12.75"/>
    <row r="3104" s="23" customFormat="1" ht="12.75"/>
    <row r="3105" s="23" customFormat="1" ht="12.75"/>
    <row r="3106" s="23" customFormat="1" ht="12.75"/>
    <row r="3107" s="23" customFormat="1" ht="12.75"/>
    <row r="3108" s="23" customFormat="1" ht="12.75"/>
    <row r="3109" s="23" customFormat="1" ht="12.75"/>
    <row r="3110" s="23" customFormat="1" ht="12.75"/>
    <row r="3111" s="23" customFormat="1" ht="12.75"/>
    <row r="3112" s="23" customFormat="1" ht="12.75"/>
    <row r="3113" s="23" customFormat="1" ht="12.75"/>
    <row r="3114" s="23" customFormat="1" ht="12.75"/>
    <row r="3115" s="23" customFormat="1" ht="12.75"/>
    <row r="3116" s="23" customFormat="1" ht="12.75"/>
    <row r="3117" s="23" customFormat="1" ht="12.75"/>
    <row r="3118" s="23" customFormat="1" ht="12.75"/>
    <row r="3119" s="23" customFormat="1" ht="12.75"/>
    <row r="3120" s="23" customFormat="1" ht="12.75"/>
    <row r="3121" s="23" customFormat="1" ht="12.75"/>
    <row r="3122" s="23" customFormat="1" ht="12.75"/>
    <row r="3123" s="23" customFormat="1" ht="12.75"/>
    <row r="3124" s="23" customFormat="1" ht="12.75"/>
    <row r="3125" s="23" customFormat="1" ht="12.75"/>
    <row r="3126" s="23" customFormat="1" ht="12.75"/>
    <row r="3127" s="23" customFormat="1" ht="12.75"/>
    <row r="3128" s="23" customFormat="1" ht="12.75"/>
    <row r="3129" s="23" customFormat="1" ht="12.75"/>
    <row r="3130" s="23" customFormat="1" ht="12.75"/>
    <row r="3131" s="23" customFormat="1" ht="12.75"/>
    <row r="3132" s="23" customFormat="1" ht="12.75"/>
    <row r="3133" s="23" customFormat="1" ht="12.75"/>
    <row r="3134" s="23" customFormat="1" ht="12.75"/>
    <row r="3135" s="23" customFormat="1" ht="12.75"/>
    <row r="3136" s="23" customFormat="1" ht="12.75"/>
    <row r="3137" s="23" customFormat="1" ht="12.75"/>
    <row r="3138" s="23" customFormat="1" ht="12.75"/>
    <row r="3139" s="23" customFormat="1" ht="12.75"/>
    <row r="3140" s="23" customFormat="1" ht="12.75"/>
    <row r="3141" s="23" customFormat="1" ht="12.75"/>
    <row r="3142" s="23" customFormat="1" ht="12.75"/>
    <row r="3143" s="23" customFormat="1" ht="12.75"/>
    <row r="3144" s="23" customFormat="1" ht="12.75"/>
    <row r="3145" s="23" customFormat="1" ht="12.75"/>
    <row r="3146" s="23" customFormat="1" ht="12.75"/>
    <row r="3147" s="23" customFormat="1" ht="12.75"/>
    <row r="3148" s="23" customFormat="1" ht="12.75"/>
    <row r="3149" s="23" customFormat="1" ht="12.75"/>
    <row r="3150" s="23" customFormat="1" ht="12.75"/>
    <row r="3151" s="23" customFormat="1" ht="12.75"/>
    <row r="3152" s="23" customFormat="1" ht="12.75"/>
    <row r="3153" s="23" customFormat="1" ht="12.75"/>
    <row r="3154" s="23" customFormat="1" ht="12.75"/>
    <row r="3155" s="23" customFormat="1" ht="12.75"/>
    <row r="3156" s="23" customFormat="1" ht="12.75"/>
    <row r="3157" s="23" customFormat="1" ht="12.75"/>
    <row r="3158" s="23" customFormat="1" ht="12.75"/>
    <row r="3159" s="23" customFormat="1" ht="12.75"/>
    <row r="3160" s="23" customFormat="1" ht="12.75"/>
    <row r="3161" s="23" customFormat="1" ht="12.75"/>
    <row r="3162" s="23" customFormat="1" ht="12.75"/>
    <row r="3163" s="23" customFormat="1" ht="12.75"/>
    <row r="3164" s="23" customFormat="1" ht="12.75"/>
    <row r="3165" s="23" customFormat="1" ht="12.75"/>
    <row r="3166" s="23" customFormat="1" ht="12.75"/>
    <row r="3167" s="23" customFormat="1" ht="12.75"/>
    <row r="3168" s="23" customFormat="1" ht="12.75"/>
    <row r="3169" s="23" customFormat="1" ht="12.75"/>
    <row r="3170" s="23" customFormat="1" ht="12.75"/>
    <row r="3171" s="23" customFormat="1" ht="12.75"/>
    <row r="3172" s="23" customFormat="1" ht="12.75"/>
    <row r="3173" s="23" customFormat="1" ht="12.75"/>
    <row r="3174" s="23" customFormat="1" ht="12.75"/>
    <row r="3175" s="23" customFormat="1" ht="12.75"/>
    <row r="3176" s="23" customFormat="1" ht="12.75"/>
    <row r="3177" s="23" customFormat="1" ht="12.75"/>
    <row r="3178" s="23" customFormat="1" ht="12.75"/>
    <row r="3179" s="23" customFormat="1" ht="12.75"/>
    <row r="3180" s="23" customFormat="1" ht="12.75"/>
    <row r="3181" s="23" customFormat="1" ht="12.75"/>
    <row r="3182" s="23" customFormat="1" ht="12.75"/>
    <row r="3183" s="23" customFormat="1" ht="12.75"/>
    <row r="3184" s="23" customFormat="1" ht="12.75"/>
    <row r="3185" s="23" customFormat="1" ht="12.75"/>
    <row r="3186" s="23" customFormat="1" ht="12.75"/>
    <row r="3187" s="23" customFormat="1" ht="12.75"/>
    <row r="3188" s="23" customFormat="1" ht="12.75"/>
    <row r="3189" s="23" customFormat="1" ht="12.75"/>
    <row r="3190" s="23" customFormat="1" ht="12.75"/>
    <row r="3191" s="23" customFormat="1" ht="12.75"/>
    <row r="3192" s="23" customFormat="1" ht="12.75"/>
    <row r="3193" s="23" customFormat="1" ht="12.75"/>
    <row r="3194" s="23" customFormat="1" ht="12.75"/>
    <row r="3195" s="23" customFormat="1" ht="12.75"/>
    <row r="3196" s="23" customFormat="1" ht="12.75"/>
    <row r="3197" s="23" customFormat="1" ht="12.75"/>
    <row r="3198" s="23" customFormat="1" ht="12.75"/>
    <row r="3199" s="23" customFormat="1" ht="12.75"/>
    <row r="3200" s="23" customFormat="1" ht="12.75"/>
    <row r="3201" s="23" customFormat="1" ht="12.75"/>
    <row r="3202" s="23" customFormat="1" ht="12.75"/>
    <row r="3203" s="23" customFormat="1" ht="12.75"/>
    <row r="3204" s="23" customFormat="1" ht="12.75"/>
    <row r="3205" s="23" customFormat="1" ht="12.75"/>
    <row r="3206" s="23" customFormat="1" ht="12.75"/>
    <row r="3207" s="23" customFormat="1" ht="12.75"/>
    <row r="3208" s="23" customFormat="1" ht="12.75"/>
    <row r="3209" s="23" customFormat="1" ht="12.75"/>
    <row r="3210" s="23" customFormat="1" ht="12.75"/>
    <row r="3211" s="23" customFormat="1" ht="12.75"/>
    <row r="3212" s="23" customFormat="1" ht="12.75"/>
    <row r="3213" s="23" customFormat="1" ht="12.75"/>
    <row r="3214" s="23" customFormat="1" ht="12.75"/>
    <row r="3215" s="23" customFormat="1" ht="12.75"/>
    <row r="3216" s="23" customFormat="1" ht="12.75"/>
    <row r="3217" s="23" customFormat="1" ht="12.75"/>
    <row r="3218" s="23" customFormat="1" ht="12.75"/>
    <row r="3219" s="23" customFormat="1" ht="12.75"/>
    <row r="3220" s="23" customFormat="1" ht="12.75"/>
    <row r="3221" s="23" customFormat="1" ht="12.75"/>
    <row r="3222" s="23" customFormat="1" ht="12.75"/>
    <row r="3223" s="23" customFormat="1" ht="12.75"/>
    <row r="3224" s="23" customFormat="1" ht="12.75"/>
    <row r="3225" s="23" customFormat="1" ht="12.75"/>
    <row r="3226" s="23" customFormat="1" ht="12.75"/>
    <row r="3227" s="23" customFormat="1" ht="12.75"/>
    <row r="3228" s="23" customFormat="1" ht="12.75"/>
    <row r="3229" s="23" customFormat="1" ht="12.75"/>
    <row r="3230" s="23" customFormat="1" ht="12.75"/>
    <row r="3231" s="23" customFormat="1" ht="12.75"/>
    <row r="3232" s="23" customFormat="1" ht="12.75"/>
    <row r="3233" s="23" customFormat="1" ht="12.75"/>
    <row r="3234" s="23" customFormat="1" ht="12.75"/>
    <row r="3235" s="23" customFormat="1" ht="12.75"/>
    <row r="3236" s="23" customFormat="1" ht="12.75"/>
    <row r="3237" s="23" customFormat="1" ht="12.75"/>
    <row r="3238" s="23" customFormat="1" ht="12.75"/>
    <row r="3239" s="23" customFormat="1" ht="12.75"/>
    <row r="3240" s="23" customFormat="1" ht="12.75"/>
    <row r="3241" s="23" customFormat="1" ht="12.75"/>
    <row r="3242" s="23" customFormat="1" ht="12.75"/>
    <row r="3243" s="23" customFormat="1" ht="12.75"/>
    <row r="3244" s="23" customFormat="1" ht="12.75"/>
    <row r="3245" s="23" customFormat="1" ht="12.75"/>
    <row r="3246" s="23" customFormat="1" ht="12.75"/>
    <row r="3247" s="23" customFormat="1" ht="12.75"/>
    <row r="3248" s="23" customFormat="1" ht="12.75"/>
    <row r="3249" s="23" customFormat="1" ht="12.75"/>
    <row r="3250" s="23" customFormat="1" ht="12.75"/>
    <row r="3251" s="23" customFormat="1" ht="12.75"/>
    <row r="3252" s="23" customFormat="1" ht="12.75"/>
    <row r="3253" s="23" customFormat="1" ht="12.75"/>
    <row r="3254" s="23" customFormat="1" ht="12.75"/>
    <row r="3255" s="23" customFormat="1" ht="12.75"/>
    <row r="3256" s="23" customFormat="1" ht="12.75"/>
    <row r="3257" s="23" customFormat="1" ht="12.75"/>
    <row r="3258" s="23" customFormat="1" ht="12.75"/>
    <row r="3259" s="23" customFormat="1" ht="12.75"/>
    <row r="3260" s="23" customFormat="1" ht="12.75"/>
    <row r="3261" s="23" customFormat="1" ht="12.75"/>
    <row r="3262" s="23" customFormat="1" ht="12.75"/>
    <row r="3263" s="23" customFormat="1" ht="12.75"/>
    <row r="3264" s="23" customFormat="1" ht="12.75"/>
    <row r="3265" s="23" customFormat="1" ht="12.75"/>
    <row r="3266" s="23" customFormat="1" ht="12.75"/>
    <row r="3267" s="23" customFormat="1" ht="12.75"/>
    <row r="3268" s="23" customFormat="1" ht="12.75"/>
    <row r="3269" s="23" customFormat="1" ht="12.75"/>
    <row r="3270" s="23" customFormat="1" ht="12.75"/>
    <row r="3271" s="23" customFormat="1" ht="12.75"/>
    <row r="3272" s="23" customFormat="1" ht="12.75"/>
    <row r="3273" s="23" customFormat="1" ht="12.75"/>
    <row r="3274" s="23" customFormat="1" ht="12.75"/>
    <row r="3275" s="23" customFormat="1" ht="12.75"/>
    <row r="3276" s="23" customFormat="1" ht="12.75"/>
    <row r="3277" s="23" customFormat="1" ht="12.75"/>
    <row r="3278" s="23" customFormat="1" ht="12.75"/>
    <row r="3279" s="23" customFormat="1" ht="12.75"/>
    <row r="3280" s="23" customFormat="1" ht="12.75"/>
    <row r="3281" s="23" customFormat="1" ht="12.75"/>
    <row r="3282" s="23" customFormat="1" ht="12.75"/>
    <row r="3283" s="23" customFormat="1" ht="12.75"/>
    <row r="3284" s="23" customFormat="1" ht="12.75"/>
    <row r="3285" s="23" customFormat="1" ht="12.75"/>
    <row r="3286" s="23" customFormat="1" ht="12.75"/>
    <row r="3287" s="23" customFormat="1" ht="12.75"/>
    <row r="3288" s="23" customFormat="1" ht="12.75"/>
    <row r="3289" s="23" customFormat="1" ht="12.75"/>
    <row r="3290" s="23" customFormat="1" ht="12.75"/>
    <row r="3291" s="23" customFormat="1" ht="12.75"/>
    <row r="3292" s="23" customFormat="1" ht="12.75"/>
    <row r="3293" s="23" customFormat="1" ht="12.75"/>
    <row r="3294" s="23" customFormat="1" ht="12.75"/>
    <row r="3295" s="23" customFormat="1" ht="12.75"/>
    <row r="3296" s="23" customFormat="1" ht="12.75"/>
    <row r="3297" s="23" customFormat="1" ht="12.75"/>
    <row r="3298" s="23" customFormat="1" ht="12.75"/>
    <row r="3299" s="23" customFormat="1" ht="12.75"/>
    <row r="3300" s="23" customFormat="1" ht="12.75"/>
    <row r="3301" s="23" customFormat="1" ht="12.75"/>
    <row r="3302" s="23" customFormat="1" ht="12.75"/>
    <row r="3303" s="23" customFormat="1" ht="12.75"/>
    <row r="3304" s="23" customFormat="1" ht="12.75"/>
    <row r="3305" s="23" customFormat="1" ht="12.75"/>
    <row r="3306" s="23" customFormat="1" ht="12.75"/>
    <row r="3307" s="23" customFormat="1" ht="12.75"/>
    <row r="3308" s="23" customFormat="1" ht="12.75"/>
    <row r="3309" s="23" customFormat="1" ht="12.75"/>
    <row r="3310" s="23" customFormat="1" ht="12.75"/>
    <row r="3311" s="23" customFormat="1" ht="12.75"/>
    <row r="3312" s="23" customFormat="1" ht="12.75"/>
    <row r="3313" s="23" customFormat="1" ht="12.75"/>
    <row r="3314" s="23" customFormat="1" ht="12.75"/>
    <row r="3315" s="23" customFormat="1" ht="12.75"/>
    <row r="3316" s="23" customFormat="1" ht="12.75"/>
    <row r="3317" s="23" customFormat="1" ht="12.75"/>
    <row r="3318" s="23" customFormat="1" ht="12.75"/>
    <row r="3319" s="23" customFormat="1" ht="12.75"/>
    <row r="3320" s="23" customFormat="1" ht="12.75"/>
    <row r="3321" s="23" customFormat="1" ht="12.75"/>
    <row r="3322" s="23" customFormat="1" ht="12.75"/>
    <row r="3323" s="23" customFormat="1" ht="12.75"/>
    <row r="3324" s="23" customFormat="1" ht="12.75"/>
    <row r="3325" s="23" customFormat="1" ht="12.75"/>
    <row r="3326" s="23" customFormat="1" ht="12.75"/>
    <row r="3327" s="23" customFormat="1" ht="12.75"/>
    <row r="3328" s="23" customFormat="1" ht="12.75"/>
    <row r="3329" s="23" customFormat="1" ht="12.75"/>
    <row r="3330" s="23" customFormat="1" ht="12.75"/>
    <row r="3331" s="23" customFormat="1" ht="12.75"/>
    <row r="3332" s="23" customFormat="1" ht="12.75"/>
    <row r="3333" s="23" customFormat="1" ht="12.75"/>
    <row r="3334" s="23" customFormat="1" ht="12.75"/>
    <row r="3335" s="23" customFormat="1" ht="12.75"/>
    <row r="3336" s="23" customFormat="1" ht="12.75"/>
    <row r="3337" s="23" customFormat="1" ht="12.75"/>
    <row r="3338" s="23" customFormat="1" ht="12.75"/>
    <row r="3339" s="23" customFormat="1" ht="12.75"/>
    <row r="3340" s="23" customFormat="1" ht="12.75"/>
    <row r="3341" s="23" customFormat="1" ht="12.75"/>
    <row r="3342" s="23" customFormat="1" ht="12.75"/>
    <row r="3343" s="23" customFormat="1" ht="12.75"/>
    <row r="3344" s="23" customFormat="1" ht="12.75"/>
    <row r="3345" s="23" customFormat="1" ht="12.75"/>
    <row r="3346" s="23" customFormat="1" ht="12.75"/>
    <row r="3347" s="23" customFormat="1" ht="12.75"/>
    <row r="3348" s="23" customFormat="1" ht="12.75"/>
    <row r="3349" s="23" customFormat="1" ht="12.75"/>
    <row r="3350" s="23" customFormat="1" ht="12.75"/>
    <row r="3351" s="23" customFormat="1" ht="12.75"/>
    <row r="3352" s="23" customFormat="1" ht="12.75"/>
    <row r="3353" s="23" customFormat="1" ht="12.75"/>
    <row r="3354" s="23" customFormat="1" ht="12.75"/>
    <row r="3355" s="23" customFormat="1" ht="12.75"/>
    <row r="3356" s="23" customFormat="1" ht="12.75"/>
    <row r="3357" s="23" customFormat="1" ht="12.75"/>
    <row r="3358" s="23" customFormat="1" ht="12.75"/>
    <row r="3359" s="23" customFormat="1" ht="12.75"/>
    <row r="3360" s="23" customFormat="1" ht="12.75"/>
    <row r="3361" s="23" customFormat="1" ht="12.75"/>
    <row r="3362" s="23" customFormat="1" ht="12.75"/>
    <row r="3363" s="23" customFormat="1" ht="12.75"/>
    <row r="3364" s="23" customFormat="1" ht="12.75"/>
    <row r="3365" s="23" customFormat="1" ht="12.75"/>
    <row r="3366" s="23" customFormat="1" ht="12.75"/>
    <row r="3367" s="23" customFormat="1" ht="12.75"/>
    <row r="3368" s="23" customFormat="1" ht="12.75"/>
    <row r="3369" s="23" customFormat="1" ht="12.75"/>
    <row r="3370" s="23" customFormat="1" ht="12.75"/>
    <row r="3371" s="23" customFormat="1" ht="12.75"/>
    <row r="3372" s="23" customFormat="1" ht="12.75"/>
    <row r="3373" s="23" customFormat="1" ht="12.75"/>
    <row r="3374" s="23" customFormat="1" ht="12.75"/>
    <row r="3375" s="23" customFormat="1" ht="12.75"/>
    <row r="3376" s="23" customFormat="1" ht="12.75"/>
    <row r="3377" s="23" customFormat="1" ht="12.75"/>
    <row r="3378" s="23" customFormat="1" ht="12.75"/>
    <row r="3379" s="23" customFormat="1" ht="12.75"/>
    <row r="3380" s="23" customFormat="1" ht="12.75"/>
    <row r="3381" s="23" customFormat="1" ht="12.75"/>
    <row r="3382" s="23" customFormat="1" ht="12.75"/>
    <row r="3383" s="23" customFormat="1" ht="12.75"/>
    <row r="3384" s="23" customFormat="1" ht="12.75"/>
    <row r="3385" s="23" customFormat="1" ht="12.75"/>
    <row r="3386" s="23" customFormat="1" ht="12.75"/>
    <row r="3387" s="23" customFormat="1" ht="12.75"/>
    <row r="3388" s="23" customFormat="1" ht="12.75"/>
    <row r="3389" s="23" customFormat="1" ht="12.75"/>
    <row r="3390" s="23" customFormat="1" ht="12.75"/>
    <row r="3391" s="23" customFormat="1" ht="12.75"/>
    <row r="3392" s="23" customFormat="1" ht="12.75"/>
    <row r="3393" s="23" customFormat="1" ht="12.75"/>
    <row r="3394" s="23" customFormat="1" ht="12.75"/>
    <row r="3395" s="23" customFormat="1" ht="12.75"/>
    <row r="3396" s="23" customFormat="1" ht="12.75"/>
    <row r="3397" s="23" customFormat="1" ht="12.75"/>
    <row r="3398" s="23" customFormat="1" ht="12.75"/>
    <row r="3399" s="23" customFormat="1" ht="12.75"/>
    <row r="3400" s="23" customFormat="1" ht="12.75"/>
    <row r="3401" s="23" customFormat="1" ht="12.75"/>
    <row r="3402" s="23" customFormat="1" ht="12.75"/>
    <row r="3403" s="23" customFormat="1" ht="12.75"/>
    <row r="3404" s="23" customFormat="1" ht="12.75"/>
    <row r="3405" s="23" customFormat="1" ht="12.75"/>
    <row r="3406" s="23" customFormat="1" ht="12.75"/>
    <row r="3407" s="23" customFormat="1" ht="12.75"/>
    <row r="3408" s="23" customFormat="1" ht="12.75"/>
    <row r="3409" s="23" customFormat="1" ht="12.75"/>
    <row r="3410" s="23" customFormat="1" ht="12.75"/>
    <row r="3411" s="23" customFormat="1" ht="12.75"/>
    <row r="3412" s="23" customFormat="1" ht="12.75"/>
    <row r="3413" s="23" customFormat="1" ht="12.75"/>
    <row r="3414" s="23" customFormat="1" ht="12.75"/>
    <row r="3415" s="23" customFormat="1" ht="12.75"/>
    <row r="3416" s="23" customFormat="1" ht="12.75"/>
    <row r="3417" s="23" customFormat="1" ht="12.75"/>
    <row r="3418" s="23" customFormat="1" ht="12.75"/>
    <row r="3419" s="23" customFormat="1" ht="12.75"/>
    <row r="3420" s="23" customFormat="1" ht="12.75"/>
    <row r="3421" s="23" customFormat="1" ht="12.75"/>
    <row r="3422" s="23" customFormat="1" ht="12.75"/>
    <row r="3423" s="23" customFormat="1" ht="12.75"/>
    <row r="3424" s="23" customFormat="1" ht="12.75"/>
    <row r="3425" s="23" customFormat="1" ht="12.75"/>
    <row r="3426" s="23" customFormat="1" ht="12.75"/>
    <row r="3427" s="23" customFormat="1" ht="12.75"/>
    <row r="3428" s="23" customFormat="1" ht="12.75"/>
    <row r="3429" s="23" customFormat="1" ht="12.75"/>
    <row r="3430" s="23" customFormat="1" ht="12.75"/>
    <row r="3431" s="23" customFormat="1" ht="12.75"/>
    <row r="3432" s="23" customFormat="1" ht="12.75"/>
    <row r="3433" s="23" customFormat="1" ht="12.75"/>
    <row r="3434" s="23" customFormat="1" ht="12.75"/>
    <row r="3435" s="23" customFormat="1" ht="12.75"/>
    <row r="3436" s="23" customFormat="1" ht="12.75"/>
    <row r="3437" s="23" customFormat="1" ht="12.75"/>
    <row r="3438" s="23" customFormat="1" ht="12.75"/>
    <row r="3439" s="23" customFormat="1" ht="12.75"/>
    <row r="3440" s="23" customFormat="1" ht="12.75"/>
    <row r="3441" s="23" customFormat="1" ht="12.75"/>
    <row r="3442" s="23" customFormat="1" ht="12.75"/>
    <row r="3443" s="23" customFormat="1" ht="12.75"/>
    <row r="3444" s="23" customFormat="1" ht="12.75"/>
    <row r="3445" s="23" customFormat="1" ht="12.75"/>
    <row r="3446" s="23" customFormat="1" ht="12.75"/>
    <row r="3447" s="23" customFormat="1" ht="12.75"/>
    <row r="3448" s="23" customFormat="1" ht="12.75"/>
    <row r="3449" s="23" customFormat="1" ht="12.75"/>
    <row r="3450" s="23" customFormat="1" ht="12.75"/>
    <row r="3451" s="23" customFormat="1" ht="12.75"/>
    <row r="3452" s="23" customFormat="1" ht="12.75"/>
    <row r="3453" s="23" customFormat="1" ht="12.75"/>
    <row r="3454" s="23" customFormat="1" ht="12.75"/>
    <row r="3455" s="23" customFormat="1" ht="12.75"/>
    <row r="3456" s="23" customFormat="1" ht="12.75"/>
    <row r="3457" s="23" customFormat="1" ht="12.75"/>
    <row r="3458" s="23" customFormat="1" ht="12.75"/>
    <row r="3459" s="23" customFormat="1" ht="12.75"/>
    <row r="3460" s="23" customFormat="1" ht="12.75"/>
    <row r="3461" s="23" customFormat="1" ht="12.75"/>
    <row r="3462" s="23" customFormat="1" ht="12.75"/>
    <row r="3463" s="23" customFormat="1" ht="12.75"/>
    <row r="3464" s="23" customFormat="1" ht="12.75"/>
    <row r="3465" s="23" customFormat="1" ht="12.75"/>
    <row r="3466" s="23" customFormat="1" ht="12.75"/>
    <row r="3467" s="23" customFormat="1" ht="12.75"/>
    <row r="3468" s="23" customFormat="1" ht="12.75"/>
    <row r="3469" s="23" customFormat="1" ht="12.75"/>
    <row r="3470" s="23" customFormat="1" ht="12.75"/>
    <row r="3471" s="23" customFormat="1" ht="12.75"/>
    <row r="3472" s="23" customFormat="1" ht="12.75"/>
    <row r="3473" s="23" customFormat="1" ht="12.75"/>
    <row r="3474" s="23" customFormat="1" ht="12.75"/>
    <row r="3475" s="23" customFormat="1" ht="12.75"/>
    <row r="3476" s="23" customFormat="1" ht="12.75"/>
    <row r="3477" s="23" customFormat="1" ht="12.75"/>
    <row r="3478" s="23" customFormat="1" ht="12.75"/>
    <row r="3479" s="23" customFormat="1" ht="12.75"/>
    <row r="3480" s="23" customFormat="1" ht="12.75"/>
    <row r="3481" s="23" customFormat="1" ht="12.75"/>
    <row r="3482" s="23" customFormat="1" ht="12.75"/>
    <row r="3483" s="23" customFormat="1" ht="12.75"/>
    <row r="3484" s="23" customFormat="1" ht="12.75"/>
    <row r="3485" s="23" customFormat="1" ht="12.75"/>
    <row r="3486" s="23" customFormat="1" ht="12.75"/>
    <row r="3487" s="23" customFormat="1" ht="12.75"/>
    <row r="3488" s="23" customFormat="1" ht="12.75"/>
    <row r="3489" s="23" customFormat="1" ht="12.75"/>
    <row r="3490" s="23" customFormat="1" ht="12.75"/>
    <row r="3491" s="23" customFormat="1" ht="12.75"/>
    <row r="3492" s="23" customFormat="1" ht="12.75"/>
    <row r="3493" s="23" customFormat="1" ht="12.75"/>
    <row r="3494" s="23" customFormat="1" ht="12.75"/>
    <row r="3495" s="23" customFormat="1" ht="12.75"/>
    <row r="3496" s="23" customFormat="1" ht="12.75"/>
    <row r="3497" s="23" customFormat="1" ht="12.75"/>
    <row r="3498" s="23" customFormat="1" ht="12.75"/>
    <row r="3499" s="23" customFormat="1" ht="12.75"/>
    <row r="3500" s="23" customFormat="1" ht="12.75"/>
    <row r="3501" s="23" customFormat="1" ht="12.75"/>
    <row r="3502" s="23" customFormat="1" ht="12.75"/>
    <row r="3503" s="23" customFormat="1" ht="12.75"/>
    <row r="3504" s="23" customFormat="1" ht="12.75"/>
    <row r="3505" s="23" customFormat="1" ht="12.75"/>
    <row r="3506" s="23" customFormat="1" ht="12.75"/>
    <row r="3507" s="23" customFormat="1" ht="12.75"/>
    <row r="3508" s="23" customFormat="1" ht="12.75"/>
    <row r="3509" s="23" customFormat="1" ht="12.75"/>
    <row r="3510" s="23" customFormat="1" ht="12.75"/>
    <row r="3511" s="23" customFormat="1" ht="12.75"/>
    <row r="3512" s="23" customFormat="1" ht="12.75"/>
    <row r="3513" s="23" customFormat="1" ht="12.75"/>
    <row r="3514" s="23" customFormat="1" ht="12.75"/>
    <row r="3515" s="23" customFormat="1" ht="12.75"/>
    <row r="3516" s="23" customFormat="1" ht="12.75"/>
    <row r="3517" s="23" customFormat="1" ht="12.75"/>
    <row r="3518" s="23" customFormat="1" ht="12.75"/>
    <row r="3519" s="23" customFormat="1" ht="12.75"/>
    <row r="3520" s="23" customFormat="1" ht="12.75"/>
    <row r="3521" s="23" customFormat="1" ht="12.75"/>
    <row r="3522" s="23" customFormat="1" ht="12.75"/>
    <row r="3523" s="23" customFormat="1" ht="12.75"/>
    <row r="3524" s="23" customFormat="1" ht="12.75"/>
    <row r="3525" s="23" customFormat="1" ht="12.75"/>
    <row r="3526" s="23" customFormat="1" ht="12.75"/>
    <row r="3527" s="23" customFormat="1" ht="12.75"/>
    <row r="3528" s="23" customFormat="1" ht="12.75"/>
    <row r="3529" s="23" customFormat="1" ht="12.75"/>
    <row r="3530" s="23" customFormat="1" ht="12.75"/>
    <row r="3531" s="23" customFormat="1" ht="12.75"/>
    <row r="3532" s="23" customFormat="1" ht="12.75"/>
    <row r="3533" s="23" customFormat="1" ht="12.75"/>
    <row r="3534" s="23" customFormat="1" ht="12.75"/>
    <row r="3535" s="23" customFormat="1" ht="12.75"/>
    <row r="3536" s="23" customFormat="1" ht="12.75"/>
    <row r="3537" s="23" customFormat="1" ht="12.75"/>
    <row r="3538" s="23" customFormat="1" ht="12.75"/>
    <row r="3539" s="23" customFormat="1" ht="12.75"/>
    <row r="3540" s="23" customFormat="1" ht="12.75"/>
    <row r="3541" s="23" customFormat="1" ht="12.75"/>
    <row r="3542" s="23" customFormat="1" ht="12.75"/>
    <row r="3543" s="23" customFormat="1" ht="12.75"/>
    <row r="3544" s="23" customFormat="1" ht="12.75"/>
    <row r="3545" s="23" customFormat="1" ht="12.75"/>
    <row r="3546" s="23" customFormat="1" ht="12.75"/>
    <row r="3547" s="23" customFormat="1" ht="12.75"/>
    <row r="3548" s="23" customFormat="1" ht="12.75"/>
    <row r="3549" s="23" customFormat="1" ht="12.75"/>
    <row r="3550" s="23" customFormat="1" ht="12.75"/>
    <row r="3551" s="23" customFormat="1" ht="12.75"/>
    <row r="3552" s="23" customFormat="1" ht="12.75"/>
    <row r="3553" s="23" customFormat="1" ht="12.75"/>
    <row r="3554" s="23" customFormat="1" ht="12.75"/>
    <row r="3555" s="23" customFormat="1" ht="12.75"/>
    <row r="3556" s="23" customFormat="1" ht="12.75"/>
    <row r="3557" s="23" customFormat="1" ht="12.75"/>
    <row r="3558" s="23" customFormat="1" ht="12.75"/>
    <row r="3559" s="23" customFormat="1" ht="12.75"/>
    <row r="3560" s="23" customFormat="1" ht="12.75"/>
    <row r="3561" s="23" customFormat="1" ht="12.75"/>
    <row r="3562" s="23" customFormat="1" ht="12.75"/>
    <row r="3563" s="23" customFormat="1" ht="12.75"/>
    <row r="3564" s="23" customFormat="1" ht="12.75"/>
    <row r="3565" s="23" customFormat="1" ht="12.75"/>
    <row r="3566" s="23" customFormat="1" ht="12.75"/>
    <row r="3567" s="23" customFormat="1" ht="12.75"/>
    <row r="3568" s="23" customFormat="1" ht="12.75"/>
    <row r="3569" s="23" customFormat="1" ht="12.75"/>
    <row r="3570" s="23" customFormat="1" ht="12.75"/>
    <row r="3571" s="23" customFormat="1" ht="12.75"/>
    <row r="3572" s="23" customFormat="1" ht="12.75"/>
    <row r="3573" s="23" customFormat="1" ht="12.75"/>
    <row r="3574" s="23" customFormat="1" ht="12.75"/>
    <row r="3575" s="23" customFormat="1" ht="12.75"/>
    <row r="3576" s="23" customFormat="1" ht="12.75"/>
    <row r="3577" s="23" customFormat="1" ht="12.75"/>
    <row r="3578" s="23" customFormat="1" ht="12.75"/>
    <row r="3579" s="23" customFormat="1" ht="12.75"/>
    <row r="3580" s="23" customFormat="1" ht="12.75"/>
    <row r="3581" s="23" customFormat="1" ht="12.75"/>
    <row r="3582" s="23" customFormat="1" ht="12.75"/>
    <row r="3583" s="23" customFormat="1" ht="12.75"/>
    <row r="3584" s="23" customFormat="1" ht="12.75"/>
    <row r="3585" s="23" customFormat="1" ht="12.75"/>
    <row r="3586" s="23" customFormat="1" ht="12.75"/>
    <row r="3587" s="23" customFormat="1" ht="12.75"/>
    <row r="3588" s="23" customFormat="1" ht="12.75"/>
    <row r="3589" s="23" customFormat="1" ht="12.75"/>
    <row r="3590" s="23" customFormat="1" ht="12.75"/>
    <row r="3591" s="23" customFormat="1" ht="12.75"/>
    <row r="3592" s="23" customFormat="1" ht="12.75"/>
    <row r="3593" s="23" customFormat="1" ht="12.75"/>
    <row r="3594" s="23" customFormat="1" ht="12.75"/>
    <row r="3595" s="23" customFormat="1" ht="12.75"/>
    <row r="3596" s="23" customFormat="1" ht="12.75"/>
    <row r="3597" s="23" customFormat="1" ht="12.75"/>
    <row r="3598" s="23" customFormat="1" ht="12.75"/>
    <row r="3599" s="23" customFormat="1" ht="12.75"/>
    <row r="3600" s="23" customFormat="1" ht="12.75"/>
    <row r="3601" s="23" customFormat="1" ht="12.75"/>
    <row r="3602" s="23" customFormat="1" ht="12.75"/>
    <row r="3603" s="23" customFormat="1" ht="12.75"/>
    <row r="3604" s="23" customFormat="1" ht="12.75"/>
    <row r="3605" s="23" customFormat="1" ht="12.75"/>
    <row r="3606" s="23" customFormat="1" ht="12.75"/>
    <row r="3607" s="23" customFormat="1" ht="12.75"/>
    <row r="3608" s="23" customFormat="1" ht="12.75"/>
    <row r="3609" s="23" customFormat="1" ht="12.75"/>
    <row r="3610" s="23" customFormat="1" ht="12.75"/>
    <row r="3611" s="23" customFormat="1" ht="12.75"/>
    <row r="3612" s="23" customFormat="1" ht="12.75"/>
    <row r="3613" s="23" customFormat="1" ht="12.75"/>
    <row r="3614" s="23" customFormat="1" ht="12.75"/>
    <row r="3615" s="23" customFormat="1" ht="12.75"/>
    <row r="3616" s="23" customFormat="1" ht="12.75"/>
    <row r="3617" s="23" customFormat="1" ht="12.75"/>
    <row r="3618" s="23" customFormat="1" ht="12.75"/>
    <row r="3619" s="23" customFormat="1" ht="12.75"/>
    <row r="3620" s="23" customFormat="1" ht="12.75"/>
    <row r="3621" s="23" customFormat="1" ht="12.75"/>
    <row r="3622" s="23" customFormat="1" ht="12.75"/>
    <row r="3623" s="23" customFormat="1" ht="12.75"/>
    <row r="3624" s="23" customFormat="1" ht="12.75"/>
    <row r="3625" s="23" customFormat="1" ht="12.75"/>
    <row r="3626" s="23" customFormat="1" ht="12.75"/>
    <row r="3627" s="23" customFormat="1" ht="12.75"/>
    <row r="3628" s="23" customFormat="1" ht="12.75"/>
    <row r="3629" s="23" customFormat="1" ht="12.75"/>
    <row r="3630" s="23" customFormat="1" ht="12.75"/>
    <row r="3631" s="23" customFormat="1" ht="12.75"/>
    <row r="3632" s="23" customFormat="1" ht="12.75"/>
    <row r="3633" s="23" customFormat="1" ht="12.75"/>
    <row r="3634" s="23" customFormat="1" ht="12.75"/>
    <row r="3635" s="23" customFormat="1" ht="12.75"/>
    <row r="3636" s="23" customFormat="1" ht="12.75"/>
    <row r="3637" s="23" customFormat="1" ht="12.75"/>
    <row r="3638" s="23" customFormat="1" ht="12.75"/>
    <row r="3639" s="23" customFormat="1" ht="12.75"/>
    <row r="3640" s="23" customFormat="1" ht="12.75"/>
    <row r="3641" s="23" customFormat="1" ht="12.75"/>
    <row r="3642" s="23" customFormat="1" ht="12.75"/>
    <row r="3643" s="23" customFormat="1" ht="12.75"/>
    <row r="3644" s="23" customFormat="1" ht="12.75"/>
    <row r="3645" s="23" customFormat="1" ht="12.75"/>
    <row r="3646" s="23" customFormat="1" ht="12.75"/>
    <row r="3647" s="23" customFormat="1" ht="12.75"/>
    <row r="3648" s="23" customFormat="1" ht="12.75"/>
    <row r="3649" s="23" customFormat="1" ht="12.75"/>
    <row r="3650" s="23" customFormat="1" ht="12.75"/>
    <row r="3651" s="23" customFormat="1" ht="12.75"/>
    <row r="3652" s="23" customFormat="1" ht="12.75"/>
    <row r="3653" s="23" customFormat="1" ht="12.75"/>
    <row r="3654" s="23" customFormat="1" ht="12.75"/>
    <row r="3655" s="23" customFormat="1" ht="12.75"/>
    <row r="3656" s="23" customFormat="1" ht="12.75"/>
    <row r="3657" s="23" customFormat="1" ht="12.75"/>
    <row r="3658" s="23" customFormat="1" ht="12.75"/>
    <row r="3659" s="23" customFormat="1" ht="12.75"/>
    <row r="3660" s="23" customFormat="1" ht="12.75"/>
    <row r="3661" s="23" customFormat="1" ht="12.75"/>
    <row r="3662" s="23" customFormat="1" ht="12.75"/>
    <row r="3663" s="23" customFormat="1" ht="12.75"/>
    <row r="3664" s="23" customFormat="1" ht="12.75"/>
    <row r="3665" s="23" customFormat="1" ht="12.75"/>
    <row r="3666" s="23" customFormat="1" ht="12.75"/>
    <row r="3667" s="23" customFormat="1" ht="12.75"/>
    <row r="3668" s="23" customFormat="1" ht="12.75"/>
    <row r="3669" s="23" customFormat="1" ht="12.75"/>
    <row r="3670" s="23" customFormat="1" ht="12.75"/>
    <row r="3671" s="23" customFormat="1" ht="12.75"/>
    <row r="3672" s="23" customFormat="1" ht="12.75"/>
    <row r="3673" s="23" customFormat="1" ht="12.75"/>
    <row r="3674" s="23" customFormat="1" ht="12.75"/>
    <row r="3675" s="23" customFormat="1" ht="12.75"/>
    <row r="3676" s="23" customFormat="1" ht="12.75"/>
    <row r="3677" s="23" customFormat="1" ht="12.75"/>
    <row r="3678" s="23" customFormat="1" ht="12.75"/>
    <row r="3679" s="23" customFormat="1" ht="12.75"/>
    <row r="3680" s="23" customFormat="1" ht="12.75"/>
    <row r="3681" s="23" customFormat="1" ht="12.75"/>
    <row r="3682" s="23" customFormat="1" ht="12.75"/>
    <row r="3683" s="23" customFormat="1" ht="12.75"/>
    <row r="3684" s="23" customFormat="1" ht="12.75"/>
    <row r="3685" s="23" customFormat="1" ht="12.75"/>
    <row r="3686" s="23" customFormat="1" ht="12.75"/>
    <row r="3687" s="23" customFormat="1" ht="12.75"/>
    <row r="3688" s="23" customFormat="1" ht="12.75"/>
    <row r="3689" s="23" customFormat="1" ht="12.75"/>
    <row r="3690" s="23" customFormat="1" ht="12.75"/>
    <row r="3691" s="23" customFormat="1" ht="12.75"/>
    <row r="3692" s="23" customFormat="1" ht="12.75"/>
    <row r="3693" s="23" customFormat="1" ht="12.75"/>
    <row r="3694" s="23" customFormat="1" ht="12.75"/>
    <row r="3695" s="23" customFormat="1" ht="12.75"/>
    <row r="3696" s="23" customFormat="1" ht="12.75"/>
    <row r="3697" s="23" customFormat="1" ht="12.75"/>
    <row r="3698" s="23" customFormat="1" ht="12.75"/>
    <row r="3699" s="23" customFormat="1" ht="12.75"/>
    <row r="3700" s="23" customFormat="1" ht="12.75"/>
    <row r="3701" s="23" customFormat="1" ht="12.75"/>
    <row r="3702" s="23" customFormat="1" ht="12.75"/>
    <row r="3703" s="23" customFormat="1" ht="12.75"/>
    <row r="3704" s="23" customFormat="1" ht="12.75"/>
    <row r="3705" s="23" customFormat="1" ht="12.75"/>
    <row r="3706" s="23" customFormat="1" ht="12.75"/>
    <row r="3707" s="23" customFormat="1" ht="12.75"/>
    <row r="3708" s="23" customFormat="1" ht="12.75"/>
    <row r="3709" s="23" customFormat="1" ht="12.75"/>
    <row r="3710" s="23" customFormat="1" ht="12.75"/>
    <row r="3711" s="23" customFormat="1" ht="12.75"/>
    <row r="3712" s="23" customFormat="1" ht="12.75"/>
    <row r="3713" s="23" customFormat="1" ht="12.75"/>
    <row r="3714" s="23" customFormat="1" ht="12.75"/>
    <row r="3715" s="23" customFormat="1" ht="12.75"/>
    <row r="3716" s="23" customFormat="1" ht="12.75"/>
    <row r="3717" s="23" customFormat="1" ht="12.75"/>
    <row r="3718" s="23" customFormat="1" ht="12.75"/>
    <row r="3719" s="23" customFormat="1" ht="12.75"/>
    <row r="3720" s="23" customFormat="1" ht="12.75"/>
    <row r="3721" s="23" customFormat="1" ht="12.75"/>
    <row r="3722" s="23" customFormat="1" ht="12.75"/>
    <row r="3723" s="23" customFormat="1" ht="12.75"/>
    <row r="3724" s="23" customFormat="1" ht="12.75"/>
    <row r="3725" s="23" customFormat="1" ht="12.75"/>
    <row r="3726" s="23" customFormat="1" ht="12.75"/>
    <row r="3727" s="23" customFormat="1" ht="12.75"/>
    <row r="3728" s="23" customFormat="1" ht="12.75"/>
    <row r="3729" s="23" customFormat="1" ht="12.75"/>
    <row r="3730" s="23" customFormat="1" ht="12.75"/>
    <row r="3731" s="23" customFormat="1" ht="12.75"/>
    <row r="3732" s="23" customFormat="1" ht="12.75"/>
    <row r="3733" s="23" customFormat="1" ht="12.75"/>
    <row r="3734" s="23" customFormat="1" ht="12.75"/>
    <row r="3735" s="23" customFormat="1" ht="12.75"/>
    <row r="3736" s="23" customFormat="1" ht="12.75"/>
    <row r="3737" s="23" customFormat="1" ht="12.75"/>
    <row r="3738" s="23" customFormat="1" ht="12.75"/>
    <row r="3739" s="23" customFormat="1" ht="12.75"/>
    <row r="3740" s="23" customFormat="1" ht="12.75"/>
    <row r="3741" s="23" customFormat="1" ht="12.75"/>
    <row r="3742" s="23" customFormat="1" ht="12.75"/>
    <row r="3743" s="23" customFormat="1" ht="12.75"/>
    <row r="3744" s="23" customFormat="1" ht="12.75"/>
    <row r="3745" s="23" customFormat="1" ht="12.75"/>
    <row r="3746" s="23" customFormat="1" ht="12.75"/>
    <row r="3747" s="23" customFormat="1" ht="12.75"/>
    <row r="3748" s="23" customFormat="1" ht="12.75"/>
    <row r="3749" s="23" customFormat="1" ht="12.75"/>
    <row r="3750" s="23" customFormat="1" ht="12.75"/>
    <row r="3751" s="23" customFormat="1" ht="12.75"/>
    <row r="3752" s="23" customFormat="1" ht="12.75"/>
    <row r="3753" s="23" customFormat="1" ht="12.75"/>
    <row r="3754" s="23" customFormat="1" ht="12.75"/>
    <row r="3755" s="23" customFormat="1" ht="12.75"/>
    <row r="3756" s="23" customFormat="1" ht="12.75"/>
    <row r="3757" s="23" customFormat="1" ht="12.75"/>
    <row r="3758" s="23" customFormat="1" ht="12.75"/>
    <row r="3759" s="23" customFormat="1" ht="12.75"/>
    <row r="3760" s="23" customFormat="1" ht="12.75"/>
    <row r="3761" s="23" customFormat="1" ht="12.75"/>
    <row r="3762" s="23" customFormat="1" ht="12.75"/>
    <row r="3763" s="23" customFormat="1" ht="12.75"/>
    <row r="3764" s="23" customFormat="1" ht="12.75"/>
    <row r="3765" s="23" customFormat="1" ht="12.75"/>
    <row r="3766" s="23" customFormat="1" ht="12.75"/>
    <row r="3767" s="23" customFormat="1" ht="12.75"/>
    <row r="3768" s="23" customFormat="1" ht="12.75"/>
    <row r="3769" s="23" customFormat="1" ht="12.75"/>
    <row r="3770" s="23" customFormat="1" ht="12.75"/>
    <row r="3771" s="23" customFormat="1" ht="12.75"/>
    <row r="3772" s="23" customFormat="1" ht="12.75"/>
    <row r="3773" s="23" customFormat="1" ht="12.75"/>
    <row r="3774" s="23" customFormat="1" ht="12.75"/>
    <row r="3775" s="23" customFormat="1" ht="12.75"/>
    <row r="3776" s="23" customFormat="1" ht="12.75"/>
    <row r="3777" s="23" customFormat="1" ht="12.75"/>
    <row r="3778" s="23" customFormat="1" ht="12.75"/>
    <row r="3779" s="23" customFormat="1" ht="12.75"/>
    <row r="3780" s="23" customFormat="1" ht="12.75"/>
    <row r="3781" s="23" customFormat="1" ht="12.75"/>
    <row r="3782" s="23" customFormat="1" ht="12.75"/>
    <row r="3783" s="23" customFormat="1" ht="12.75"/>
    <row r="3784" s="23" customFormat="1" ht="12.75"/>
    <row r="3785" s="23" customFormat="1" ht="12.75"/>
    <row r="3786" s="23" customFormat="1" ht="12.75"/>
    <row r="3787" s="23" customFormat="1" ht="12.75"/>
    <row r="3788" s="23" customFormat="1" ht="12.75"/>
    <row r="3789" s="23" customFormat="1" ht="12.75"/>
    <row r="3790" s="23" customFormat="1" ht="12.75"/>
    <row r="3791" s="23" customFormat="1" ht="12.75"/>
    <row r="3792" s="23" customFormat="1" ht="12.75"/>
    <row r="3793" s="23" customFormat="1" ht="12.75"/>
    <row r="3794" s="23" customFormat="1" ht="12.75"/>
    <row r="3795" s="23" customFormat="1" ht="12.75"/>
    <row r="3796" s="23" customFormat="1" ht="12.75"/>
    <row r="3797" s="23" customFormat="1" ht="12.75"/>
    <row r="3798" s="23" customFormat="1" ht="12.75"/>
    <row r="3799" s="23" customFormat="1" ht="12.75"/>
    <row r="3800" s="23" customFormat="1" ht="12.75"/>
    <row r="3801" s="23" customFormat="1" ht="12.75"/>
    <row r="3802" s="23" customFormat="1" ht="12.75"/>
    <row r="3803" s="23" customFormat="1" ht="12.75"/>
    <row r="3804" s="23" customFormat="1" ht="12.75"/>
    <row r="3805" s="23" customFormat="1" ht="12.75"/>
    <row r="3806" s="23" customFormat="1" ht="12.75"/>
    <row r="3807" s="23" customFormat="1" ht="12.75"/>
    <row r="3808" s="23" customFormat="1" ht="12.75"/>
    <row r="3809" s="23" customFormat="1" ht="12.75"/>
    <row r="3810" s="23" customFormat="1" ht="12.75"/>
    <row r="3811" s="23" customFormat="1" ht="12.75"/>
    <row r="3812" s="23" customFormat="1" ht="12.75"/>
    <row r="3813" s="23" customFormat="1" ht="12.75"/>
    <row r="3814" s="23" customFormat="1" ht="12.75"/>
    <row r="3815" s="23" customFormat="1" ht="12.75"/>
    <row r="3816" s="23" customFormat="1" ht="12.75"/>
    <row r="3817" s="23" customFormat="1" ht="12.75"/>
    <row r="3818" s="23" customFormat="1" ht="12.75"/>
    <row r="3819" s="23" customFormat="1" ht="12.75"/>
    <row r="3820" s="23" customFormat="1" ht="12.75"/>
    <row r="3821" s="23" customFormat="1" ht="12.75"/>
    <row r="3822" s="23" customFormat="1" ht="12.75"/>
    <row r="3823" s="23" customFormat="1" ht="12.75"/>
    <row r="3824" s="23" customFormat="1" ht="12.75"/>
    <row r="3825" s="23" customFormat="1" ht="12.75"/>
    <row r="3826" s="23" customFormat="1" ht="12.75"/>
    <row r="3827" s="23" customFormat="1" ht="12.75"/>
    <row r="3828" s="23" customFormat="1" ht="12.75"/>
    <row r="3829" s="23" customFormat="1" ht="12.75"/>
    <row r="3830" s="23" customFormat="1" ht="12.75"/>
    <row r="3831" s="23" customFormat="1" ht="12.75"/>
    <row r="3832" s="23" customFormat="1" ht="12.75"/>
    <row r="3833" s="23" customFormat="1" ht="12.75"/>
    <row r="3834" s="23" customFormat="1" ht="12.75"/>
    <row r="3835" s="23" customFormat="1" ht="12.75"/>
    <row r="3836" s="23" customFormat="1" ht="12.75"/>
    <row r="3837" s="23" customFormat="1" ht="12.75"/>
    <row r="3838" s="23" customFormat="1" ht="12.75"/>
    <row r="3839" s="23" customFormat="1" ht="12.75"/>
    <row r="3840" s="23" customFormat="1" ht="12.75"/>
    <row r="3841" s="23" customFormat="1" ht="12.75"/>
    <row r="3842" s="23" customFormat="1" ht="12.75"/>
    <row r="3843" s="23" customFormat="1" ht="12.75"/>
    <row r="3844" s="23" customFormat="1" ht="12.75"/>
    <row r="3845" s="23" customFormat="1" ht="12.75"/>
    <row r="3846" s="23" customFormat="1" ht="12.75"/>
    <row r="3847" s="23" customFormat="1" ht="12.75"/>
    <row r="3848" s="23" customFormat="1" ht="12.75"/>
    <row r="3849" s="23" customFormat="1" ht="12.75"/>
    <row r="3850" s="23" customFormat="1" ht="12.75"/>
    <row r="3851" s="23" customFormat="1" ht="12.75"/>
    <row r="3852" s="23" customFormat="1" ht="12.75"/>
    <row r="3853" s="23" customFormat="1" ht="12.75"/>
    <row r="3854" s="23" customFormat="1" ht="12.75"/>
    <row r="3855" s="23" customFormat="1" ht="12.75"/>
    <row r="3856" s="23" customFormat="1" ht="12.75"/>
    <row r="3857" s="23" customFormat="1" ht="12.75"/>
    <row r="3858" s="23" customFormat="1" ht="12.75"/>
    <row r="3859" s="23" customFormat="1" ht="12.75"/>
    <row r="3860" s="23" customFormat="1" ht="12.75"/>
    <row r="3861" s="23" customFormat="1" ht="12.75"/>
    <row r="3862" s="23" customFormat="1" ht="12.75"/>
    <row r="3863" s="23" customFormat="1" ht="12.75"/>
    <row r="3864" s="23" customFormat="1" ht="12.75"/>
    <row r="3865" s="23" customFormat="1" ht="12.75"/>
    <row r="3866" s="23" customFormat="1" ht="12.75"/>
    <row r="3867" s="23" customFormat="1" ht="12.75"/>
    <row r="3868" s="23" customFormat="1" ht="12.75"/>
    <row r="3869" s="23" customFormat="1" ht="12.75"/>
    <row r="3870" s="23" customFormat="1" ht="12.75"/>
    <row r="3871" s="23" customFormat="1" ht="12.75"/>
    <row r="3872" s="23" customFormat="1" ht="12.75"/>
    <row r="3873" s="23" customFormat="1" ht="12.75"/>
    <row r="3874" s="23" customFormat="1" ht="12.75"/>
    <row r="3875" s="23" customFormat="1" ht="12.75"/>
    <row r="3876" s="23" customFormat="1" ht="12.75"/>
    <row r="3877" s="23" customFormat="1" ht="12.75"/>
    <row r="3878" s="23" customFormat="1" ht="12.75"/>
    <row r="3879" s="23" customFormat="1" ht="12.75"/>
    <row r="3880" s="23" customFormat="1" ht="12.75"/>
    <row r="3881" s="23" customFormat="1" ht="12.75"/>
    <row r="3882" s="23" customFormat="1" ht="12.75"/>
    <row r="3883" s="23" customFormat="1" ht="12.75"/>
    <row r="3884" s="23" customFormat="1" ht="12.75"/>
    <row r="3885" s="23" customFormat="1" ht="12.75"/>
    <row r="3886" s="23" customFormat="1" ht="12.75"/>
    <row r="3887" s="23" customFormat="1" ht="12.75"/>
    <row r="3888" s="23" customFormat="1" ht="12.75"/>
    <row r="3889" s="23" customFormat="1" ht="12.75"/>
    <row r="3890" s="23" customFormat="1" ht="12.75"/>
    <row r="3891" s="23" customFormat="1" ht="12.75"/>
    <row r="3892" s="23" customFormat="1" ht="12.75"/>
    <row r="3893" s="23" customFormat="1" ht="12.75"/>
    <row r="3894" s="23" customFormat="1" ht="12.75"/>
    <row r="3895" s="23" customFormat="1" ht="12.75"/>
    <row r="3896" s="23" customFormat="1" ht="12.75"/>
    <row r="3897" s="23" customFormat="1" ht="12.75"/>
    <row r="3898" s="23" customFormat="1" ht="12.75"/>
    <row r="3899" s="23" customFormat="1" ht="12.75"/>
    <row r="3900" s="23" customFormat="1" ht="12.75"/>
    <row r="3901" s="23" customFormat="1" ht="12.75"/>
    <row r="3902" s="23" customFormat="1" ht="12.75"/>
    <row r="3903" s="23" customFormat="1" ht="12.75"/>
    <row r="3904" s="23" customFormat="1" ht="12.75"/>
    <row r="3905" s="23" customFormat="1" ht="12.75"/>
    <row r="3906" s="23" customFormat="1" ht="12.75"/>
    <row r="3907" s="23" customFormat="1" ht="12.75"/>
    <row r="3908" s="23" customFormat="1" ht="12.75"/>
    <row r="3909" s="23" customFormat="1" ht="12.75"/>
    <row r="3910" s="23" customFormat="1" ht="12.75"/>
    <row r="3911" s="23" customFormat="1" ht="12.75"/>
    <row r="3912" s="23" customFormat="1" ht="12.75"/>
    <row r="3913" s="23" customFormat="1" ht="12.75"/>
    <row r="3914" s="23" customFormat="1" ht="12.75"/>
    <row r="3915" s="23" customFormat="1" ht="12.75"/>
    <row r="3916" s="23" customFormat="1" ht="12.75"/>
    <row r="3917" s="23" customFormat="1" ht="12.75"/>
    <row r="3918" s="23" customFormat="1" ht="12.75"/>
    <row r="3919" s="23" customFormat="1" ht="12.75"/>
    <row r="3920" s="23" customFormat="1" ht="12.75"/>
    <row r="3921" s="23" customFormat="1" ht="12.75"/>
    <row r="3922" s="23" customFormat="1" ht="12.75"/>
    <row r="3923" s="23" customFormat="1" ht="12.75"/>
    <row r="3924" s="23" customFormat="1" ht="12.75"/>
    <row r="3925" s="23" customFormat="1" ht="12.75"/>
    <row r="3926" s="23" customFormat="1" ht="12.75"/>
    <row r="3927" s="23" customFormat="1" ht="12.75"/>
    <row r="3928" s="23" customFormat="1" ht="12.75"/>
    <row r="3929" s="23" customFormat="1" ht="12.75"/>
    <row r="3930" s="23" customFormat="1" ht="12.75"/>
    <row r="3931" s="23" customFormat="1" ht="12.75"/>
    <row r="3932" s="23" customFormat="1" ht="12.75"/>
    <row r="3933" s="23" customFormat="1" ht="12.75"/>
    <row r="3934" s="23" customFormat="1" ht="12.75"/>
    <row r="3935" s="23" customFormat="1" ht="12.75"/>
    <row r="3936" s="23" customFormat="1" ht="12.75"/>
    <row r="3937" s="23" customFormat="1" ht="12.75"/>
    <row r="3938" s="23" customFormat="1" ht="12.75"/>
    <row r="3939" s="23" customFormat="1" ht="12.75"/>
    <row r="3940" s="23" customFormat="1" ht="12.75"/>
    <row r="3941" s="23" customFormat="1" ht="12.75"/>
    <row r="3942" s="23" customFormat="1" ht="12.75"/>
    <row r="3943" s="23" customFormat="1" ht="12.75"/>
    <row r="3944" s="23" customFormat="1" ht="12.75"/>
    <row r="3945" s="23" customFormat="1" ht="12.75"/>
    <row r="3946" s="23" customFormat="1" ht="12.75"/>
    <row r="3947" s="23" customFormat="1" ht="12.75"/>
    <row r="3948" s="23" customFormat="1" ht="12.75"/>
    <row r="3949" s="23" customFormat="1" ht="12.75"/>
    <row r="3950" s="23" customFormat="1" ht="12.75"/>
    <row r="3951" s="23" customFormat="1" ht="12.75"/>
    <row r="3952" s="23" customFormat="1" ht="12.75"/>
    <row r="3953" s="23" customFormat="1" ht="12.75"/>
    <row r="3954" s="23" customFormat="1" ht="12.75"/>
    <row r="3955" s="23" customFormat="1" ht="12.75"/>
    <row r="3956" s="23" customFormat="1" ht="12.75"/>
    <row r="3957" s="23" customFormat="1" ht="12.75"/>
    <row r="3958" s="23" customFormat="1" ht="12.75"/>
    <row r="3959" s="23" customFormat="1" ht="12.75"/>
    <row r="3960" s="23" customFormat="1" ht="12.75"/>
    <row r="3961" s="23" customFormat="1" ht="12.75"/>
    <row r="3962" s="23" customFormat="1" ht="12.75"/>
    <row r="3963" s="23" customFormat="1" ht="12.75"/>
    <row r="3964" s="23" customFormat="1" ht="12.75"/>
    <row r="3965" s="23" customFormat="1" ht="12.75"/>
    <row r="3966" s="23" customFormat="1" ht="12.75"/>
    <row r="3967" s="23" customFormat="1" ht="12.75"/>
    <row r="3968" s="23" customFormat="1" ht="12.75"/>
    <row r="3969" s="23" customFormat="1" ht="12.75"/>
    <row r="3970" s="23" customFormat="1" ht="12.75"/>
    <row r="3971" s="23" customFormat="1" ht="12.75"/>
    <row r="3972" s="23" customFormat="1" ht="12.75"/>
    <row r="3973" s="23" customFormat="1" ht="12.75"/>
    <row r="3974" s="23" customFormat="1" ht="12.75"/>
    <row r="3975" s="23" customFormat="1" ht="12.75"/>
    <row r="3976" s="23" customFormat="1" ht="12.75"/>
    <row r="3977" s="23" customFormat="1" ht="12.75"/>
    <row r="3978" s="23" customFormat="1" ht="12.75"/>
    <row r="3979" s="23" customFormat="1" ht="12.75"/>
    <row r="3980" s="23" customFormat="1" ht="12.75"/>
    <row r="3981" s="23" customFormat="1" ht="12.75"/>
    <row r="3982" s="23" customFormat="1" ht="12.75"/>
    <row r="3983" s="23" customFormat="1" ht="12.75"/>
    <row r="3984" s="23" customFormat="1" ht="12.75"/>
    <row r="3985" s="23" customFormat="1" ht="12.75"/>
    <row r="3986" s="23" customFormat="1" ht="12.75"/>
    <row r="3987" s="23" customFormat="1" ht="12.75"/>
    <row r="3988" s="23" customFormat="1" ht="12.75"/>
    <row r="3989" s="23" customFormat="1" ht="12.75"/>
    <row r="3990" s="23" customFormat="1" ht="12.75"/>
    <row r="3991" s="23" customFormat="1" ht="12.75"/>
    <row r="3992" s="23" customFormat="1" ht="12.75"/>
    <row r="3993" s="23" customFormat="1" ht="12.75"/>
    <row r="3994" s="23" customFormat="1" ht="12.75"/>
    <row r="3995" s="23" customFormat="1" ht="12.75"/>
    <row r="3996" s="23" customFormat="1" ht="12.75"/>
    <row r="3997" s="23" customFormat="1" ht="12.75"/>
    <row r="3998" s="23" customFormat="1" ht="12.75"/>
    <row r="3999" s="23" customFormat="1" ht="12.75"/>
    <row r="4000" s="23" customFormat="1" ht="12.75"/>
    <row r="4001" s="23" customFormat="1" ht="12.75"/>
    <row r="4002" s="23" customFormat="1" ht="12.75"/>
    <row r="4003" s="23" customFormat="1" ht="12.75"/>
    <row r="4004" s="23" customFormat="1" ht="12.75"/>
    <row r="4005" s="23" customFormat="1" ht="12.75"/>
    <row r="4006" s="23" customFormat="1" ht="12.75"/>
    <row r="4007" s="23" customFormat="1" ht="12.75"/>
    <row r="4008" s="23" customFormat="1" ht="12.75"/>
    <row r="4009" s="23" customFormat="1" ht="12.75"/>
    <row r="4010" s="23" customFormat="1" ht="12.75"/>
    <row r="4011" s="23" customFormat="1" ht="12.75"/>
    <row r="4012" s="23" customFormat="1" ht="12.75"/>
    <row r="4013" s="23" customFormat="1" ht="12.75"/>
    <row r="4014" s="23" customFormat="1" ht="12.75"/>
    <row r="4015" s="23" customFormat="1" ht="12.75"/>
    <row r="4016" s="23" customFormat="1" ht="12.75"/>
    <row r="4017" s="23" customFormat="1" ht="12.75"/>
    <row r="4018" s="23" customFormat="1" ht="12.75"/>
    <row r="4019" s="23" customFormat="1" ht="12.75"/>
    <row r="4020" s="23" customFormat="1" ht="12.75"/>
    <row r="4021" s="23" customFormat="1" ht="12.75"/>
    <row r="4022" s="23" customFormat="1" ht="12.75"/>
    <row r="4023" s="23" customFormat="1" ht="12.75"/>
    <row r="4024" s="23" customFormat="1" ht="12.75"/>
    <row r="4025" s="23" customFormat="1" ht="12.75"/>
    <row r="4026" s="23" customFormat="1" ht="12.75"/>
    <row r="4027" s="23" customFormat="1" ht="12.75"/>
    <row r="4028" s="23" customFormat="1" ht="12.75"/>
    <row r="4029" s="23" customFormat="1" ht="12.75"/>
    <row r="4030" s="23" customFormat="1" ht="12.75"/>
    <row r="4031" s="23" customFormat="1" ht="12.75"/>
    <row r="4032" s="23" customFormat="1" ht="12.75"/>
    <row r="4033" s="23" customFormat="1" ht="12.75"/>
    <row r="4034" s="23" customFormat="1" ht="12.75"/>
    <row r="4035" s="23" customFormat="1" ht="12.75"/>
    <row r="4036" s="23" customFormat="1" ht="12.75"/>
    <row r="4037" s="23" customFormat="1" ht="12.75"/>
    <row r="4038" s="23" customFormat="1" ht="12.75"/>
    <row r="4039" s="23" customFormat="1" ht="12.75"/>
    <row r="4040" s="23" customFormat="1" ht="12.75"/>
    <row r="4041" s="23" customFormat="1" ht="12.75"/>
    <row r="4042" s="23" customFormat="1" ht="12.75"/>
    <row r="4043" s="23" customFormat="1" ht="12.75"/>
    <row r="4044" s="23" customFormat="1" ht="12.75"/>
    <row r="4045" s="23" customFormat="1" ht="12.75"/>
    <row r="4046" s="23" customFormat="1" ht="12.75"/>
    <row r="4047" s="23" customFormat="1" ht="12.75"/>
    <row r="4048" s="23" customFormat="1" ht="12.75"/>
    <row r="4049" s="23" customFormat="1" ht="12.75"/>
    <row r="4050" s="23" customFormat="1" ht="12.75"/>
    <row r="4051" s="23" customFormat="1" ht="12.75"/>
    <row r="4052" s="23" customFormat="1" ht="12.75"/>
    <row r="4053" s="23" customFormat="1" ht="12.75"/>
    <row r="4054" s="23" customFormat="1" ht="12.75"/>
    <row r="4055" s="23" customFormat="1" ht="12.75"/>
    <row r="4056" s="23" customFormat="1" ht="12.75"/>
    <row r="4057" s="23" customFormat="1" ht="12.75"/>
    <row r="4058" s="23" customFormat="1" ht="12.75"/>
    <row r="4059" s="23" customFormat="1" ht="12.75"/>
    <row r="4060" s="23" customFormat="1" ht="12.75"/>
    <row r="4061" s="23" customFormat="1" ht="12.75"/>
    <row r="4062" s="23" customFormat="1" ht="12.75"/>
    <row r="4063" s="23" customFormat="1" ht="12.75"/>
    <row r="4064" s="23" customFormat="1" ht="12.75"/>
    <row r="4065" s="23" customFormat="1" ht="12.75"/>
    <row r="4066" s="23" customFormat="1" ht="12.75"/>
    <row r="4067" s="23" customFormat="1" ht="12.75"/>
    <row r="4068" s="23" customFormat="1" ht="12.75"/>
    <row r="4069" s="23" customFormat="1" ht="12.75"/>
    <row r="4070" s="23" customFormat="1" ht="12.75"/>
    <row r="4071" s="23" customFormat="1" ht="12.75"/>
    <row r="4072" s="23" customFormat="1" ht="12.75"/>
    <row r="4073" s="23" customFormat="1" ht="12.75"/>
    <row r="4074" s="23" customFormat="1" ht="12.75"/>
    <row r="4075" s="23" customFormat="1" ht="12.75"/>
    <row r="4076" s="23" customFormat="1" ht="12.75"/>
    <row r="4077" s="23" customFormat="1" ht="12.75"/>
    <row r="4078" s="23" customFormat="1" ht="12.75"/>
    <row r="4079" s="23" customFormat="1" ht="12.75"/>
    <row r="4080" s="23" customFormat="1" ht="12.75"/>
    <row r="4081" s="23" customFormat="1" ht="12.75"/>
    <row r="4082" s="23" customFormat="1" ht="12.75"/>
    <row r="4083" s="23" customFormat="1" ht="12.75"/>
    <row r="4084" s="23" customFormat="1" ht="12.75"/>
    <row r="4085" s="23" customFormat="1" ht="12.75"/>
    <row r="4086" s="23" customFormat="1" ht="12.75"/>
    <row r="4087" s="23" customFormat="1" ht="12.75"/>
    <row r="4088" s="23" customFormat="1" ht="12.75"/>
    <row r="4089" s="23" customFormat="1" ht="12.75"/>
    <row r="4090" s="23" customFormat="1" ht="12.75"/>
    <row r="4091" s="23" customFormat="1" ht="12.75"/>
    <row r="4092" s="23" customFormat="1" ht="12.75"/>
    <row r="4093" s="23" customFormat="1" ht="12.75"/>
    <row r="4094" s="23" customFormat="1" ht="12.75"/>
    <row r="4095" s="23" customFormat="1" ht="12.75"/>
    <row r="4096" s="23" customFormat="1" ht="12.75"/>
    <row r="4097" s="23" customFormat="1" ht="12.75"/>
    <row r="4098" s="23" customFormat="1" ht="12.75"/>
    <row r="4099" s="23" customFormat="1" ht="12.75"/>
    <row r="4100" s="23" customFormat="1" ht="12.75"/>
    <row r="4101" s="23" customFormat="1" ht="12.75"/>
    <row r="4102" s="23" customFormat="1" ht="12.75"/>
    <row r="4103" s="23" customFormat="1" ht="12.75"/>
    <row r="4104" s="23" customFormat="1" ht="12.75"/>
    <row r="4105" s="23" customFormat="1" ht="12.75"/>
    <row r="4106" s="23" customFormat="1" ht="12.75"/>
    <row r="4107" s="23" customFormat="1" ht="12.75"/>
    <row r="4108" s="23" customFormat="1" ht="12.75"/>
    <row r="4109" s="23" customFormat="1" ht="12.75"/>
    <row r="4110" s="23" customFormat="1" ht="12.75"/>
    <row r="4111" s="23" customFormat="1" ht="12.75"/>
    <row r="4112" s="23" customFormat="1" ht="12.75"/>
    <row r="4113" s="23" customFormat="1" ht="12.75"/>
    <row r="4114" s="23" customFormat="1" ht="12.75"/>
    <row r="4115" s="23" customFormat="1" ht="12.75"/>
    <row r="4116" s="23" customFormat="1" ht="12.75"/>
    <row r="4117" s="23" customFormat="1" ht="12.75"/>
    <row r="4118" s="23" customFormat="1" ht="12.75"/>
    <row r="4119" s="23" customFormat="1" ht="12.75"/>
    <row r="4120" s="23" customFormat="1" ht="12.75"/>
    <row r="4121" s="23" customFormat="1" ht="12.75"/>
    <row r="4122" s="23" customFormat="1" ht="12.75"/>
    <row r="4123" s="23" customFormat="1" ht="12.75"/>
    <row r="4124" s="23" customFormat="1" ht="12.75"/>
    <row r="4125" s="23" customFormat="1" ht="12.75"/>
    <row r="4126" s="23" customFormat="1" ht="12.75"/>
    <row r="4127" s="23" customFormat="1" ht="12.75"/>
    <row r="4128" s="23" customFormat="1" ht="12.75"/>
    <row r="4129" s="23" customFormat="1" ht="12.75"/>
    <row r="4130" s="23" customFormat="1" ht="12.75"/>
    <row r="4131" s="23" customFormat="1" ht="12.75"/>
    <row r="4132" s="23" customFormat="1" ht="12.75"/>
    <row r="4133" s="23" customFormat="1" ht="12.75"/>
    <row r="4134" s="23" customFormat="1" ht="12.75"/>
    <row r="4135" s="23" customFormat="1" ht="12.75"/>
    <row r="4136" s="23" customFormat="1" ht="12.75"/>
    <row r="4137" s="23" customFormat="1" ht="12.75"/>
    <row r="4138" s="23" customFormat="1" ht="12.75"/>
    <row r="4139" s="23" customFormat="1" ht="12.75"/>
    <row r="4140" s="23" customFormat="1" ht="12.75"/>
    <row r="4141" s="23" customFormat="1" ht="12.75"/>
    <row r="4142" s="23" customFormat="1" ht="12.75"/>
    <row r="4143" s="23" customFormat="1" ht="12.75"/>
    <row r="4144" s="23" customFormat="1" ht="12.75"/>
    <row r="4145" s="23" customFormat="1" ht="12.75"/>
    <row r="4146" s="23" customFormat="1" ht="12.75"/>
    <row r="4147" s="23" customFormat="1" ht="12.75"/>
    <row r="4148" s="23" customFormat="1" ht="12.75"/>
    <row r="4149" s="23" customFormat="1" ht="12.75"/>
    <row r="4150" s="23" customFormat="1" ht="12.75"/>
    <row r="4151" s="23" customFormat="1" ht="12.75"/>
    <row r="4152" s="23" customFormat="1" ht="12.75"/>
    <row r="4153" s="23" customFormat="1" ht="12.75"/>
    <row r="4154" s="23" customFormat="1" ht="12.75"/>
    <row r="4155" s="23" customFormat="1" ht="12.75"/>
    <row r="4156" s="23" customFormat="1" ht="12.75"/>
    <row r="4157" s="23" customFormat="1" ht="12.75"/>
    <row r="4158" s="23" customFormat="1" ht="12.75"/>
    <row r="4159" s="23" customFormat="1" ht="12.75"/>
    <row r="4160" s="23" customFormat="1" ht="12.75"/>
    <row r="4161" s="23" customFormat="1" ht="12.75"/>
    <row r="4162" s="23" customFormat="1" ht="12.75"/>
    <row r="4163" s="23" customFormat="1" ht="12.75"/>
    <row r="4164" s="23" customFormat="1" ht="12.75"/>
    <row r="4165" s="23" customFormat="1" ht="12.75"/>
    <row r="4166" s="23" customFormat="1" ht="12.75"/>
    <row r="4167" s="23" customFormat="1" ht="12.75"/>
    <row r="4168" s="23" customFormat="1" ht="12.75"/>
    <row r="4169" s="23" customFormat="1" ht="12.75"/>
    <row r="4170" s="23" customFormat="1" ht="12.75"/>
    <row r="4171" s="23" customFormat="1" ht="12.75"/>
    <row r="4172" s="23" customFormat="1" ht="12.75"/>
    <row r="4173" s="23" customFormat="1" ht="12.75"/>
    <row r="4174" s="23" customFormat="1" ht="12.75"/>
    <row r="4175" s="23" customFormat="1" ht="12.75"/>
    <row r="4176" s="23" customFormat="1" ht="12.75"/>
    <row r="4177" s="23" customFormat="1" ht="12.75"/>
    <row r="4178" s="23" customFormat="1" ht="12.75"/>
    <row r="4179" s="23" customFormat="1" ht="12.75"/>
    <row r="4180" s="23" customFormat="1" ht="12.75"/>
    <row r="4181" s="23" customFormat="1" ht="12.75"/>
    <row r="4182" s="23" customFormat="1" ht="12.75"/>
    <row r="4183" s="23" customFormat="1" ht="12.75"/>
    <row r="4184" s="23" customFormat="1" ht="12.75"/>
    <row r="4185" s="23" customFormat="1" ht="12.75"/>
    <row r="4186" s="23" customFormat="1" ht="12.75"/>
    <row r="4187" s="23" customFormat="1" ht="12.75"/>
    <row r="4188" s="23" customFormat="1" ht="12.75"/>
    <row r="4189" s="23" customFormat="1" ht="12.75"/>
    <row r="4190" s="23" customFormat="1" ht="12.75"/>
    <row r="4191" s="23" customFormat="1" ht="12.75"/>
    <row r="4192" s="23" customFormat="1" ht="12.75"/>
    <row r="4193" s="23" customFormat="1" ht="12.75"/>
    <row r="4194" s="23" customFormat="1" ht="12.75"/>
    <row r="4195" s="23" customFormat="1" ht="12.75"/>
    <row r="4196" s="23" customFormat="1" ht="12.75"/>
    <row r="4197" s="23" customFormat="1" ht="12.75"/>
    <row r="4198" s="23" customFormat="1" ht="12.75"/>
    <row r="4199" s="23" customFormat="1" ht="12.75"/>
    <row r="4200" s="23" customFormat="1" ht="12.75"/>
    <row r="4201" s="23" customFormat="1" ht="12.75"/>
    <row r="4202" s="23" customFormat="1" ht="12.75"/>
    <row r="4203" s="23" customFormat="1" ht="12.75"/>
    <row r="4204" s="23" customFormat="1" ht="12.75"/>
    <row r="4205" s="23" customFormat="1" ht="12.75"/>
    <row r="4206" s="23" customFormat="1" ht="12.75"/>
    <row r="4207" s="23" customFormat="1" ht="12.75"/>
    <row r="4208" s="23" customFormat="1" ht="12.75"/>
    <row r="4209" s="23" customFormat="1" ht="12.75"/>
    <row r="4210" s="23" customFormat="1" ht="12.75"/>
    <row r="4211" s="23" customFormat="1" ht="12.75"/>
    <row r="4212" s="23" customFormat="1" ht="12.75"/>
    <row r="4213" s="23" customFormat="1" ht="12.75"/>
    <row r="4214" s="23" customFormat="1" ht="12.75"/>
    <row r="4215" s="23" customFormat="1" ht="12.75"/>
    <row r="4216" s="23" customFormat="1" ht="12.75"/>
    <row r="4217" s="23" customFormat="1" ht="12.75"/>
    <row r="4218" s="23" customFormat="1" ht="12.75"/>
    <row r="4219" s="23" customFormat="1" ht="12.75"/>
    <row r="4220" s="23" customFormat="1" ht="12.75"/>
    <row r="4221" s="23" customFormat="1" ht="12.75"/>
    <row r="4222" s="23" customFormat="1" ht="12.75"/>
    <row r="4223" s="23" customFormat="1" ht="12.75"/>
    <row r="4224" s="23" customFormat="1" ht="12.75"/>
    <row r="4225" s="23" customFormat="1" ht="12.75"/>
    <row r="4226" s="23" customFormat="1" ht="12.75"/>
    <row r="4227" s="23" customFormat="1" ht="12.75"/>
    <row r="4228" s="23" customFormat="1" ht="12.75"/>
    <row r="4229" s="23" customFormat="1" ht="12.75"/>
    <row r="4230" s="23" customFormat="1" ht="12.75"/>
    <row r="4231" s="23" customFormat="1" ht="12.75"/>
    <row r="4232" s="23" customFormat="1" ht="12.75"/>
    <row r="4233" s="23" customFormat="1" ht="12.75"/>
    <row r="4234" s="23" customFormat="1" ht="12.75"/>
    <row r="4235" s="23" customFormat="1" ht="12.75"/>
    <row r="4236" s="23" customFormat="1" ht="12.75"/>
    <row r="4237" s="23" customFormat="1" ht="12.75"/>
    <row r="4238" s="23" customFormat="1" ht="12.75"/>
    <row r="4239" s="23" customFormat="1" ht="12.75"/>
    <row r="4240" s="23" customFormat="1" ht="12.75"/>
    <row r="4241" s="23" customFormat="1" ht="12.75"/>
    <row r="4242" s="23" customFormat="1" ht="12.75"/>
    <row r="4243" s="23" customFormat="1" ht="12.75"/>
    <row r="4244" s="23" customFormat="1" ht="12.75"/>
    <row r="4245" s="23" customFormat="1" ht="12.75"/>
    <row r="4246" s="23" customFormat="1" ht="12.75"/>
    <row r="4247" s="23" customFormat="1" ht="12.75"/>
    <row r="4248" s="23" customFormat="1" ht="12.75"/>
    <row r="4249" s="23" customFormat="1" ht="12.75"/>
    <row r="4250" s="23" customFormat="1" ht="12.75"/>
    <row r="4251" s="23" customFormat="1" ht="12.75"/>
    <row r="4252" s="23" customFormat="1" ht="12.75"/>
    <row r="4253" s="23" customFormat="1" ht="12.75"/>
    <row r="4254" s="23" customFormat="1" ht="12.75"/>
    <row r="4255" s="23" customFormat="1" ht="12.75"/>
    <row r="4256" s="23" customFormat="1" ht="12.75"/>
    <row r="4257" s="23" customFormat="1" ht="12.75"/>
    <row r="4258" s="23" customFormat="1" ht="12.75"/>
    <row r="4259" s="23" customFormat="1" ht="12.75"/>
    <row r="4260" s="23" customFormat="1" ht="12.75"/>
    <row r="4261" s="23" customFormat="1" ht="12.75"/>
    <row r="4262" s="23" customFormat="1" ht="12.75"/>
    <row r="4263" s="23" customFormat="1" ht="12.75"/>
    <row r="4264" s="23" customFormat="1" ht="12.75"/>
    <row r="4265" s="23" customFormat="1" ht="12.75"/>
    <row r="4266" s="23" customFormat="1" ht="12.75"/>
    <row r="4267" s="23" customFormat="1" ht="12.75"/>
    <row r="4268" s="23" customFormat="1" ht="12.75"/>
    <row r="4269" s="23" customFormat="1" ht="12.75"/>
    <row r="4270" s="23" customFormat="1" ht="12.75"/>
    <row r="4271" s="23" customFormat="1" ht="12.75"/>
    <row r="4272" s="23" customFormat="1" ht="12.75"/>
    <row r="4273" s="23" customFormat="1" ht="12.75"/>
    <row r="4274" s="23" customFormat="1" ht="12.75"/>
    <row r="4275" s="23" customFormat="1" ht="12.75"/>
    <row r="4276" s="23" customFormat="1" ht="12.75"/>
    <row r="4277" s="23" customFormat="1" ht="12.75"/>
    <row r="4278" s="23" customFormat="1" ht="12.75"/>
    <row r="4279" s="23" customFormat="1" ht="12.75"/>
    <row r="4280" s="23" customFormat="1" ht="12.75"/>
    <row r="4281" s="23" customFormat="1" ht="12.75"/>
    <row r="4282" s="23" customFormat="1" ht="12.75"/>
    <row r="4283" s="23" customFormat="1" ht="12.75"/>
    <row r="4284" s="23" customFormat="1" ht="12.75"/>
    <row r="4285" s="23" customFormat="1" ht="12.75"/>
    <row r="4286" s="23" customFormat="1" ht="12.75"/>
    <row r="4287" s="23" customFormat="1" ht="12.75"/>
    <row r="4288" s="23" customFormat="1" ht="12.75"/>
    <row r="4289" s="23" customFormat="1" ht="12.75"/>
    <row r="4290" s="23" customFormat="1" ht="12.75"/>
    <row r="4291" s="23" customFormat="1" ht="12.75"/>
    <row r="4292" s="23" customFormat="1" ht="12.75"/>
    <row r="4293" s="23" customFormat="1" ht="12.75"/>
    <row r="4294" s="23" customFormat="1" ht="12.75"/>
    <row r="4295" s="23" customFormat="1" ht="12.75"/>
    <row r="4296" s="23" customFormat="1" ht="12.75"/>
    <row r="4297" s="23" customFormat="1" ht="12.75"/>
    <row r="4298" s="23" customFormat="1" ht="12.75"/>
    <row r="4299" s="23" customFormat="1" ht="12.75"/>
    <row r="4300" s="23" customFormat="1" ht="12.75"/>
    <row r="4301" s="23" customFormat="1" ht="12.75"/>
    <row r="4302" s="23" customFormat="1" ht="12.75"/>
    <row r="4303" s="23" customFormat="1" ht="12.75"/>
    <row r="4304" s="23" customFormat="1" ht="12.75"/>
    <row r="4305" s="23" customFormat="1" ht="12.75"/>
    <row r="4306" s="23" customFormat="1" ht="12.75"/>
    <row r="4307" s="23" customFormat="1" ht="12.75"/>
    <row r="4308" s="23" customFormat="1" ht="12.75"/>
    <row r="4309" s="23" customFormat="1" ht="12.75"/>
    <row r="4310" s="23" customFormat="1" ht="12.75"/>
    <row r="4311" s="23" customFormat="1" ht="12.75"/>
    <row r="4312" s="23" customFormat="1" ht="12.75"/>
    <row r="4313" s="23" customFormat="1" ht="12.75"/>
    <row r="4314" s="23" customFormat="1" ht="12.75"/>
    <row r="4315" s="23" customFormat="1" ht="12.75"/>
    <row r="4316" s="23" customFormat="1" ht="12.75"/>
    <row r="4317" s="23" customFormat="1" ht="12.75"/>
    <row r="4318" s="23" customFormat="1" ht="12.75"/>
    <row r="4319" s="23" customFormat="1" ht="12.75"/>
    <row r="4320" s="23" customFormat="1" ht="12.75"/>
    <row r="4321" s="23" customFormat="1" ht="12.75"/>
    <row r="4322" s="23" customFormat="1" ht="12.75"/>
    <row r="4323" s="23" customFormat="1" ht="12.75"/>
    <row r="4324" s="23" customFormat="1" ht="12.75"/>
    <row r="4325" s="23" customFormat="1" ht="12.75"/>
    <row r="4326" s="23" customFormat="1" ht="12.75"/>
    <row r="4327" s="23" customFormat="1" ht="12.75"/>
    <row r="4328" s="23" customFormat="1" ht="12.75"/>
    <row r="4329" s="23" customFormat="1" ht="12.75"/>
    <row r="4330" s="23" customFormat="1" ht="12.75"/>
    <row r="4331" s="23" customFormat="1" ht="12.75"/>
    <row r="4332" s="23" customFormat="1" ht="12.75"/>
    <row r="4333" s="23" customFormat="1" ht="12.75"/>
    <row r="4334" s="23" customFormat="1" ht="12.75"/>
    <row r="4335" s="23" customFormat="1" ht="12.75"/>
    <row r="4336" s="23" customFormat="1" ht="12.75"/>
    <row r="4337" s="23" customFormat="1" ht="12.75"/>
    <row r="4338" s="23" customFormat="1" ht="12.75"/>
    <row r="4339" s="23" customFormat="1" ht="12.75"/>
    <row r="4340" s="23" customFormat="1" ht="12.75"/>
    <row r="4341" s="23" customFormat="1" ht="12.75"/>
    <row r="4342" s="23" customFormat="1" ht="12.75"/>
    <row r="4343" s="23" customFormat="1" ht="12.75"/>
    <row r="4344" s="23" customFormat="1" ht="12.75"/>
    <row r="4345" s="23" customFormat="1" ht="12.75"/>
    <row r="4346" s="23" customFormat="1" ht="12.75"/>
    <row r="4347" s="23" customFormat="1" ht="12.75"/>
    <row r="4348" s="23" customFormat="1" ht="12.75"/>
    <row r="4349" s="23" customFormat="1" ht="12.75"/>
    <row r="4350" s="23" customFormat="1" ht="12.75"/>
    <row r="4351" s="23" customFormat="1" ht="12.75"/>
    <row r="4352" s="23" customFormat="1" ht="12.75"/>
    <row r="4353" s="23" customFormat="1" ht="12.75"/>
    <row r="4354" s="23" customFormat="1" ht="12.75"/>
    <row r="4355" s="23" customFormat="1" ht="12.75"/>
    <row r="4356" s="23" customFormat="1" ht="12.75"/>
    <row r="4357" s="23" customFormat="1" ht="12.75"/>
    <row r="4358" s="23" customFormat="1" ht="12.75"/>
    <row r="4359" s="23" customFormat="1" ht="12.75"/>
    <row r="4360" s="23" customFormat="1" ht="12.75"/>
    <row r="4361" s="23" customFormat="1" ht="12.75"/>
    <row r="4362" s="23" customFormat="1" ht="12.75"/>
    <row r="4363" s="23" customFormat="1" ht="12.75"/>
    <row r="4364" s="23" customFormat="1" ht="12.75"/>
    <row r="4365" s="23" customFormat="1" ht="12.75"/>
    <row r="4366" s="23" customFormat="1" ht="12.75"/>
    <row r="4367" s="23" customFormat="1" ht="12.75"/>
    <row r="4368" s="23" customFormat="1" ht="12.75"/>
    <row r="4369" s="23" customFormat="1" ht="12.75"/>
    <row r="4370" s="23" customFormat="1" ht="12.75"/>
    <row r="4371" s="23" customFormat="1" ht="12.75"/>
    <row r="4372" s="23" customFormat="1" ht="12.75"/>
    <row r="4373" s="23" customFormat="1" ht="12.75"/>
    <row r="4374" s="23" customFormat="1" ht="12.75"/>
    <row r="4375" s="23" customFormat="1" ht="12.75"/>
    <row r="4376" s="23" customFormat="1" ht="12.75"/>
    <row r="4377" s="23" customFormat="1" ht="12.75"/>
    <row r="4378" s="23" customFormat="1" ht="12.75"/>
    <row r="4379" s="23" customFormat="1" ht="12.75"/>
    <row r="4380" s="23" customFormat="1" ht="12.75"/>
    <row r="4381" s="23" customFormat="1" ht="12.75"/>
    <row r="4382" s="23" customFormat="1" ht="12.75"/>
    <row r="4383" s="23" customFormat="1" ht="12.75"/>
    <row r="4384" s="23" customFormat="1" ht="12.75"/>
    <row r="4385" s="23" customFormat="1" ht="12.75"/>
    <row r="4386" s="23" customFormat="1" ht="12.75"/>
    <row r="4387" s="23" customFormat="1" ht="12.75"/>
    <row r="4388" s="23" customFormat="1" ht="12.75"/>
    <row r="4389" s="23" customFormat="1" ht="12.75"/>
    <row r="4390" s="23" customFormat="1" ht="12.75"/>
    <row r="4391" s="23" customFormat="1" ht="12.75"/>
    <row r="4392" s="23" customFormat="1" ht="12.75"/>
    <row r="4393" s="23" customFormat="1" ht="12.75"/>
    <row r="4394" s="23" customFormat="1" ht="12.75"/>
    <row r="4395" s="23" customFormat="1" ht="12.75"/>
    <row r="4396" s="23" customFormat="1" ht="12.75"/>
    <row r="4397" s="23" customFormat="1" ht="12.75"/>
    <row r="4398" s="23" customFormat="1" ht="12.75"/>
    <row r="4399" s="23" customFormat="1" ht="12.75"/>
    <row r="4400" s="23" customFormat="1" ht="12.75"/>
    <row r="4401" s="23" customFormat="1" ht="12.75"/>
    <row r="4402" s="23" customFormat="1" ht="12.75"/>
    <row r="4403" s="23" customFormat="1" ht="12.75"/>
    <row r="4404" s="23" customFormat="1" ht="12.75"/>
    <row r="4405" s="23" customFormat="1" ht="12.75"/>
    <row r="4406" s="23" customFormat="1" ht="12.75"/>
    <row r="4407" s="23" customFormat="1" ht="12.75"/>
    <row r="4408" s="23" customFormat="1" ht="12.75"/>
    <row r="4409" s="23" customFormat="1" ht="12.75"/>
    <row r="4410" s="23" customFormat="1" ht="12.75"/>
    <row r="4411" s="23" customFormat="1" ht="12.75"/>
    <row r="4412" s="23" customFormat="1" ht="12.75"/>
    <row r="4413" s="23" customFormat="1" ht="12.75"/>
    <row r="4414" s="23" customFormat="1" ht="12.75"/>
    <row r="4415" s="23" customFormat="1" ht="12.75"/>
    <row r="4416" s="23" customFormat="1" ht="12.75"/>
    <row r="4417" s="23" customFormat="1" ht="12.75"/>
    <row r="4418" s="23" customFormat="1" ht="12.75"/>
    <row r="4419" s="23" customFormat="1" ht="12.75"/>
    <row r="4420" s="23" customFormat="1" ht="12.75"/>
    <row r="4421" s="23" customFormat="1" ht="12.75"/>
    <row r="4422" s="23" customFormat="1" ht="12.75"/>
    <row r="4423" s="23" customFormat="1" ht="12.75"/>
    <row r="4424" s="23" customFormat="1" ht="12.75"/>
    <row r="4425" s="23" customFormat="1" ht="12.75"/>
    <row r="4426" s="23" customFormat="1" ht="12.75"/>
    <row r="4427" s="23" customFormat="1" ht="12.75"/>
    <row r="4428" s="23" customFormat="1" ht="12.75"/>
    <row r="4429" s="23" customFormat="1" ht="12.75"/>
    <row r="4430" s="23" customFormat="1" ht="12.75"/>
    <row r="4431" s="23" customFormat="1" ht="12.75"/>
    <row r="4432" s="23" customFormat="1" ht="12.75"/>
    <row r="4433" s="23" customFormat="1" ht="12.75"/>
    <row r="4434" s="23" customFormat="1" ht="12.75"/>
    <row r="4435" s="23" customFormat="1" ht="12.75"/>
    <row r="4436" s="23" customFormat="1" ht="12.75"/>
    <row r="4437" s="23" customFormat="1" ht="12.75"/>
    <row r="4438" s="23" customFormat="1" ht="12.75"/>
    <row r="4439" s="23" customFormat="1" ht="12.75"/>
    <row r="4440" s="23" customFormat="1" ht="12.75"/>
    <row r="4441" s="23" customFormat="1" ht="12.75"/>
    <row r="4442" s="23" customFormat="1" ht="12.75"/>
    <row r="4443" s="23" customFormat="1" ht="12.75"/>
    <row r="4444" s="23" customFormat="1" ht="12.75"/>
    <row r="4445" s="23" customFormat="1" ht="12.75"/>
    <row r="4446" s="23" customFormat="1" ht="12.75"/>
    <row r="4447" s="23" customFormat="1" ht="12.75"/>
    <row r="4448" s="23" customFormat="1" ht="12.75"/>
    <row r="4449" s="23" customFormat="1" ht="12.75"/>
    <row r="4450" s="23" customFormat="1" ht="12.75"/>
    <row r="4451" s="23" customFormat="1" ht="12.75"/>
    <row r="4452" s="23" customFormat="1" ht="12.75"/>
    <row r="4453" s="23" customFormat="1" ht="12.75"/>
    <row r="4454" s="23" customFormat="1" ht="12.75"/>
    <row r="4455" s="23" customFormat="1" ht="12.75"/>
    <row r="4456" s="23" customFormat="1" ht="12.75"/>
    <row r="4457" s="23" customFormat="1" ht="12.75"/>
    <row r="4458" s="23" customFormat="1" ht="12.75"/>
    <row r="4459" s="23" customFormat="1" ht="12.75"/>
    <row r="4460" s="23" customFormat="1" ht="12.75"/>
    <row r="4461" s="23" customFormat="1" ht="12.75"/>
    <row r="4462" s="23" customFormat="1" ht="12.75"/>
    <row r="4463" s="23" customFormat="1" ht="12.75"/>
    <row r="4464" s="23" customFormat="1" ht="12.75"/>
    <row r="4465" s="23" customFormat="1" ht="12.75"/>
    <row r="4466" s="23" customFormat="1" ht="12.75"/>
    <row r="4467" s="23" customFormat="1" ht="12.75"/>
    <row r="4468" s="23" customFormat="1" ht="12.75"/>
    <row r="4469" s="23" customFormat="1" ht="12.75"/>
    <row r="4470" s="23" customFormat="1" ht="12.75"/>
    <row r="4471" s="23" customFormat="1" ht="12.75"/>
    <row r="4472" s="23" customFormat="1" ht="12.75"/>
    <row r="4473" s="23" customFormat="1" ht="12.75"/>
    <row r="4474" s="23" customFormat="1" ht="12.75"/>
    <row r="4475" s="23" customFormat="1" ht="12.75"/>
    <row r="4476" s="23" customFormat="1" ht="12.75"/>
    <row r="4477" s="23" customFormat="1" ht="12.75"/>
    <row r="4478" s="23" customFormat="1" ht="12.75"/>
    <row r="4479" s="23" customFormat="1" ht="12.75"/>
    <row r="4480" s="23" customFormat="1" ht="12.75"/>
    <row r="4481" s="23" customFormat="1" ht="12.75"/>
    <row r="4482" s="23" customFormat="1" ht="12.75"/>
    <row r="4483" s="23" customFormat="1" ht="12.75"/>
    <row r="4484" s="23" customFormat="1" ht="12.75"/>
    <row r="4485" s="23" customFormat="1" ht="12.75"/>
    <row r="4486" s="23" customFormat="1" ht="12.75"/>
    <row r="4487" s="23" customFormat="1" ht="12.75"/>
    <row r="4488" s="23" customFormat="1" ht="12.75"/>
    <row r="4489" s="23" customFormat="1" ht="12.75"/>
    <row r="4490" s="23" customFormat="1" ht="12.75"/>
    <row r="4491" s="23" customFormat="1" ht="12.75"/>
    <row r="4492" s="23" customFormat="1" ht="12.75"/>
    <row r="4493" s="23" customFormat="1" ht="12.75"/>
    <row r="4494" s="23" customFormat="1" ht="12.75"/>
    <row r="4495" s="23" customFormat="1" ht="12.75"/>
    <row r="4496" s="23" customFormat="1" ht="12.75"/>
    <row r="4497" s="23" customFormat="1" ht="12.75"/>
    <row r="4498" s="23" customFormat="1" ht="12.75"/>
    <row r="4499" s="23" customFormat="1" ht="12.75"/>
    <row r="4500" s="23" customFormat="1" ht="12.75"/>
    <row r="4501" s="23" customFormat="1" ht="12.75"/>
    <row r="4502" s="23" customFormat="1" ht="12.75"/>
    <row r="4503" s="23" customFormat="1" ht="12.75"/>
    <row r="4504" s="23" customFormat="1" ht="12.75"/>
    <row r="4505" s="23" customFormat="1" ht="12.75"/>
    <row r="4506" s="23" customFormat="1" ht="12.75"/>
    <row r="4507" s="23" customFormat="1" ht="12.75"/>
    <row r="4508" s="23" customFormat="1" ht="12.75"/>
    <row r="4509" s="23" customFormat="1" ht="12.75"/>
    <row r="4510" s="23" customFormat="1" ht="12.75"/>
    <row r="4511" s="23" customFormat="1" ht="12.75"/>
    <row r="4512" s="23" customFormat="1" ht="12.75"/>
    <row r="4513" s="23" customFormat="1" ht="12.75"/>
    <row r="4514" s="23" customFormat="1" ht="12.75"/>
    <row r="4515" s="23" customFormat="1" ht="12.75"/>
    <row r="4516" s="23" customFormat="1" ht="12.75"/>
    <row r="4517" s="23" customFormat="1" ht="12.75"/>
    <row r="4518" s="23" customFormat="1" ht="12.75"/>
    <row r="4519" s="23" customFormat="1" ht="12.75"/>
    <row r="4520" s="23" customFormat="1" ht="12.75"/>
    <row r="4521" s="23" customFormat="1" ht="12.75"/>
    <row r="4522" s="23" customFormat="1" ht="12.75"/>
    <row r="4523" s="23" customFormat="1" ht="12.75"/>
    <row r="4524" s="23" customFormat="1" ht="12.75"/>
    <row r="4525" s="23" customFormat="1" ht="12.75"/>
    <row r="4526" s="23" customFormat="1" ht="12.75"/>
    <row r="4527" s="23" customFormat="1" ht="12.75"/>
    <row r="4528" s="23" customFormat="1" ht="12.75"/>
    <row r="4529" s="23" customFormat="1" ht="12.75"/>
    <row r="4530" s="23" customFormat="1" ht="12.75"/>
    <row r="4531" s="23" customFormat="1" ht="12.75"/>
    <row r="4532" s="23" customFormat="1" ht="12.75"/>
    <row r="4533" s="23" customFormat="1" ht="12.75"/>
    <row r="4534" s="23" customFormat="1" ht="12.75"/>
    <row r="4535" s="23" customFormat="1" ht="12.75"/>
    <row r="4536" s="23" customFormat="1" ht="12.75"/>
    <row r="4537" s="23" customFormat="1" ht="12.75"/>
    <row r="4538" s="23" customFormat="1" ht="12.75"/>
    <row r="4539" s="23" customFormat="1" ht="12.75"/>
    <row r="4540" s="23" customFormat="1" ht="12.75"/>
    <row r="4541" s="23" customFormat="1" ht="12.75"/>
    <row r="4542" s="23" customFormat="1" ht="12.75"/>
    <row r="4543" s="23" customFormat="1" ht="12.75"/>
    <row r="4544" s="23" customFormat="1" ht="12.75"/>
    <row r="4545" s="23" customFormat="1" ht="12.75"/>
    <row r="4546" s="23" customFormat="1" ht="12.75"/>
    <row r="4547" s="23" customFormat="1" ht="12.75"/>
    <row r="4548" s="23" customFormat="1" ht="12.75"/>
    <row r="4549" s="23" customFormat="1" ht="12.75"/>
    <row r="4550" s="23" customFormat="1" ht="12.75"/>
    <row r="4551" s="23" customFormat="1" ht="12.75"/>
    <row r="4552" s="23" customFormat="1" ht="12.75"/>
    <row r="4553" s="23" customFormat="1" ht="12.75"/>
    <row r="4554" s="23" customFormat="1" ht="12.75"/>
    <row r="4555" s="23" customFormat="1" ht="12.75"/>
    <row r="4556" s="23" customFormat="1" ht="12.75"/>
    <row r="4557" s="23" customFormat="1" ht="12.75"/>
    <row r="4558" s="23" customFormat="1" ht="12.75"/>
    <row r="4559" s="23" customFormat="1" ht="12.75"/>
    <row r="4560" s="23" customFormat="1" ht="12.75"/>
    <row r="4561" s="23" customFormat="1" ht="12.75"/>
    <row r="4562" s="23" customFormat="1" ht="12.75"/>
    <row r="4563" s="23" customFormat="1" ht="12.75"/>
    <row r="4564" s="23" customFormat="1" ht="12.75"/>
    <row r="4565" s="23" customFormat="1" ht="12.75"/>
    <row r="4566" s="23" customFormat="1" ht="12.75"/>
    <row r="4567" s="23" customFormat="1" ht="12.75"/>
    <row r="4568" s="23" customFormat="1" ht="12.75"/>
    <row r="4569" s="23" customFormat="1" ht="12.75"/>
    <row r="4570" s="23" customFormat="1" ht="12.75"/>
    <row r="4571" s="23" customFormat="1" ht="12.75"/>
    <row r="4572" s="23" customFormat="1" ht="12.75"/>
    <row r="4573" s="23" customFormat="1" ht="12.75"/>
    <row r="4574" s="23" customFormat="1" ht="12.75"/>
    <row r="4575" s="23" customFormat="1" ht="12.75"/>
    <row r="4576" s="23" customFormat="1" ht="12.75"/>
    <row r="4577" s="23" customFormat="1" ht="12.75"/>
    <row r="4578" s="23" customFormat="1" ht="12.75"/>
    <row r="4579" s="23" customFormat="1" ht="12.75"/>
    <row r="4580" s="23" customFormat="1" ht="12.75"/>
    <row r="4581" s="23" customFormat="1" ht="12.75"/>
    <row r="4582" s="23" customFormat="1" ht="12.75"/>
    <row r="4583" s="23" customFormat="1" ht="12.75"/>
    <row r="4584" s="23" customFormat="1" ht="12.75"/>
    <row r="4585" s="23" customFormat="1" ht="12.75"/>
    <row r="4586" s="23" customFormat="1" ht="12.75"/>
    <row r="4587" s="23" customFormat="1" ht="12.75"/>
    <row r="4588" s="23" customFormat="1" ht="12.75"/>
    <row r="4589" s="23" customFormat="1" ht="12.75"/>
    <row r="4590" s="23" customFormat="1" ht="12.75"/>
    <row r="4591" s="23" customFormat="1" ht="12.75"/>
    <row r="4592" s="23" customFormat="1" ht="12.75"/>
    <row r="4593" s="23" customFormat="1" ht="12.75"/>
    <row r="4594" s="23" customFormat="1" ht="12.75"/>
    <row r="4595" s="23" customFormat="1" ht="12.75"/>
    <row r="4596" s="23" customFormat="1" ht="12.75"/>
    <row r="4597" s="23" customFormat="1" ht="12.75"/>
    <row r="4598" s="23" customFormat="1" ht="12.75"/>
    <row r="4599" s="23" customFormat="1" ht="12.75"/>
    <row r="4600" s="23" customFormat="1" ht="12.75"/>
    <row r="4601" s="23" customFormat="1" ht="12.75"/>
    <row r="4602" s="23" customFormat="1" ht="12.75"/>
    <row r="4603" s="23" customFormat="1" ht="12.75"/>
    <row r="4604" s="23" customFormat="1" ht="12.75"/>
    <row r="4605" s="23" customFormat="1" ht="12.75"/>
    <row r="4606" s="23" customFormat="1" ht="12.75"/>
    <row r="4607" s="23" customFormat="1" ht="12.75"/>
    <row r="4608" s="23" customFormat="1" ht="12.75"/>
    <row r="4609" s="23" customFormat="1" ht="12.75"/>
    <row r="4610" s="23" customFormat="1" ht="12.75"/>
    <row r="4611" s="23" customFormat="1" ht="12.75"/>
    <row r="4612" s="23" customFormat="1" ht="12.75"/>
    <row r="4613" s="23" customFormat="1" ht="12.75"/>
    <row r="4614" s="23" customFormat="1" ht="12.75"/>
    <row r="4615" s="23" customFormat="1" ht="12.75"/>
    <row r="4616" s="23" customFormat="1" ht="12.75"/>
    <row r="4617" s="23" customFormat="1" ht="12.75"/>
    <row r="4618" s="23" customFormat="1" ht="12.75"/>
    <row r="4619" s="23" customFormat="1" ht="12.75"/>
    <row r="4620" s="23" customFormat="1" ht="12.75"/>
    <row r="4621" s="23" customFormat="1" ht="12.75"/>
    <row r="4622" s="23" customFormat="1" ht="12.75"/>
    <row r="4623" s="23" customFormat="1" ht="12.75"/>
    <row r="4624" s="23" customFormat="1" ht="12.75"/>
    <row r="4625" s="23" customFormat="1" ht="12.75"/>
    <row r="4626" s="23" customFormat="1" ht="12.75"/>
    <row r="4627" s="23" customFormat="1" ht="12.75"/>
    <row r="4628" s="23" customFormat="1" ht="12.75"/>
    <row r="4629" s="23" customFormat="1" ht="12.75"/>
    <row r="4630" s="23" customFormat="1" ht="12.75"/>
    <row r="4631" s="23" customFormat="1" ht="12.75"/>
    <row r="4632" s="23" customFormat="1" ht="12.75"/>
    <row r="4633" s="23" customFormat="1" ht="12.75"/>
    <row r="4634" s="23" customFormat="1" ht="12.75"/>
    <row r="4635" s="23" customFormat="1" ht="12.75"/>
    <row r="4636" s="23" customFormat="1" ht="12.75"/>
    <row r="4637" s="23" customFormat="1" ht="12.75"/>
    <row r="4638" s="23" customFormat="1" ht="12.75"/>
    <row r="4639" s="23" customFormat="1" ht="12.75"/>
    <row r="4640" s="23" customFormat="1" ht="12.75"/>
    <row r="4641" s="23" customFormat="1" ht="12.75"/>
    <row r="4642" s="23" customFormat="1" ht="12.75"/>
    <row r="4643" s="23" customFormat="1" ht="12.75"/>
    <row r="4644" s="23" customFormat="1" ht="12.75"/>
    <row r="4645" s="23" customFormat="1" ht="12.75"/>
    <row r="4646" s="23" customFormat="1" ht="12.75"/>
    <row r="4647" s="23" customFormat="1" ht="12.75"/>
    <row r="4648" s="23" customFormat="1" ht="12.75"/>
    <row r="4649" s="23" customFormat="1" ht="12.75"/>
    <row r="4650" s="23" customFormat="1" ht="12.75"/>
    <row r="4651" s="23" customFormat="1" ht="12.75"/>
    <row r="4652" s="23" customFormat="1" ht="12.75"/>
    <row r="4653" s="23" customFormat="1" ht="12.75"/>
    <row r="4654" s="23" customFormat="1" ht="12.75"/>
    <row r="4655" s="23" customFormat="1" ht="12.75"/>
    <row r="4656" s="23" customFormat="1" ht="12.75"/>
    <row r="4657" s="23" customFormat="1" ht="12.75"/>
    <row r="4658" s="23" customFormat="1" ht="12.75"/>
    <row r="4659" s="23" customFormat="1" ht="12.75"/>
    <row r="4660" s="23" customFormat="1" ht="12.75"/>
    <row r="4661" s="23" customFormat="1" ht="12.75"/>
    <row r="4662" s="23" customFormat="1" ht="12.75"/>
    <row r="4663" s="23" customFormat="1" ht="12.75"/>
    <row r="4664" s="23" customFormat="1" ht="12.75"/>
    <row r="4665" s="23" customFormat="1" ht="12.75"/>
    <row r="4666" s="23" customFormat="1" ht="12.75"/>
    <row r="4667" s="23" customFormat="1" ht="12.75"/>
    <row r="4668" s="23" customFormat="1" ht="12.75"/>
    <row r="4669" s="23" customFormat="1" ht="12.75"/>
    <row r="4670" s="23" customFormat="1" ht="12.75"/>
    <row r="4671" s="23" customFormat="1" ht="12.75"/>
    <row r="4672" s="23" customFormat="1" ht="12.75"/>
    <row r="4673" s="23" customFormat="1" ht="12.75"/>
    <row r="4674" s="23" customFormat="1" ht="12.75"/>
    <row r="4675" s="23" customFormat="1" ht="12.75"/>
    <row r="4676" s="23" customFormat="1" ht="12.75"/>
    <row r="4677" s="23" customFormat="1" ht="12.75"/>
    <row r="4678" s="23" customFormat="1" ht="12.75"/>
    <row r="4679" s="23" customFormat="1" ht="12.75"/>
    <row r="4680" s="23" customFormat="1" ht="12.75"/>
    <row r="4681" s="23" customFormat="1" ht="12.75"/>
    <row r="4682" s="23" customFormat="1" ht="12.75"/>
    <row r="4683" s="23" customFormat="1" ht="12.75"/>
    <row r="4684" s="23" customFormat="1" ht="12.75"/>
    <row r="4685" s="23" customFormat="1" ht="12.75"/>
    <row r="4686" s="23" customFormat="1" ht="12.75"/>
    <row r="4687" s="23" customFormat="1" ht="12.75"/>
    <row r="4688" s="23" customFormat="1" ht="12.75"/>
    <row r="4689" s="23" customFormat="1" ht="12.75"/>
    <row r="4690" s="23" customFormat="1" ht="12.75"/>
    <row r="4691" s="23" customFormat="1" ht="12.75"/>
    <row r="4692" s="23" customFormat="1" ht="12.75"/>
    <row r="4693" s="23" customFormat="1" ht="12.75"/>
    <row r="4694" s="23" customFormat="1" ht="12.75"/>
    <row r="4695" s="23" customFormat="1" ht="12.75"/>
    <row r="4696" s="23" customFormat="1" ht="12.75"/>
    <row r="4697" s="23" customFormat="1" ht="12.75"/>
    <row r="4698" s="23" customFormat="1" ht="12.75"/>
    <row r="4699" s="23" customFormat="1" ht="12.75"/>
    <row r="4700" s="23" customFormat="1" ht="12.75"/>
    <row r="4701" s="23" customFormat="1" ht="12.75"/>
    <row r="4702" s="23" customFormat="1" ht="12.75"/>
    <row r="4703" s="23" customFormat="1" ht="12.75"/>
    <row r="4704" s="23" customFormat="1" ht="12.75"/>
    <row r="4705" s="23" customFormat="1" ht="12.75"/>
    <row r="4706" s="23" customFormat="1" ht="12.75"/>
    <row r="4707" s="23" customFormat="1" ht="12.75"/>
    <row r="4708" s="23" customFormat="1" ht="12.75"/>
    <row r="4709" s="23" customFormat="1" ht="12.75"/>
    <row r="4710" s="23" customFormat="1" ht="12.75"/>
    <row r="4711" s="23" customFormat="1" ht="12.75"/>
    <row r="4712" s="23" customFormat="1" ht="12.75"/>
    <row r="4713" s="23" customFormat="1" ht="12.75"/>
    <row r="4714" s="23" customFormat="1" ht="12.75"/>
    <row r="4715" s="23" customFormat="1" ht="12.75"/>
    <row r="4716" s="23" customFormat="1" ht="12.75"/>
    <row r="4717" s="23" customFormat="1" ht="12.75"/>
    <row r="4718" s="23" customFormat="1" ht="12.75"/>
    <row r="4719" s="23" customFormat="1" ht="12.75"/>
    <row r="4720" s="23" customFormat="1" ht="12.75"/>
    <row r="4721" s="23" customFormat="1" ht="12.75"/>
    <row r="4722" s="23" customFormat="1" ht="12.75"/>
    <row r="4723" s="23" customFormat="1" ht="12.75"/>
    <row r="4724" s="23" customFormat="1" ht="12.75"/>
    <row r="4725" s="23" customFormat="1" ht="12.75"/>
    <row r="4726" s="23" customFormat="1" ht="12.75"/>
    <row r="4727" s="23" customFormat="1" ht="12.75"/>
    <row r="4728" s="23" customFormat="1" ht="12.75"/>
    <row r="4729" s="23" customFormat="1" ht="12.75"/>
    <row r="4730" s="23" customFormat="1" ht="12.75"/>
    <row r="4731" s="23" customFormat="1" ht="12.75"/>
    <row r="4732" s="23" customFormat="1" ht="12.75"/>
    <row r="4733" s="23" customFormat="1" ht="12.75"/>
    <row r="4734" s="23" customFormat="1" ht="12.75"/>
    <row r="4735" s="23" customFormat="1" ht="12.75"/>
    <row r="4736" s="23" customFormat="1" ht="12.75"/>
    <row r="4737" s="23" customFormat="1" ht="12.75"/>
    <row r="4738" s="23" customFormat="1" ht="12.75"/>
    <row r="4739" s="23" customFormat="1" ht="12.75"/>
    <row r="4740" s="23" customFormat="1" ht="12.75"/>
    <row r="4741" s="23" customFormat="1" ht="12.75"/>
    <row r="4742" s="23" customFormat="1" ht="12.75"/>
    <row r="4743" s="23" customFormat="1" ht="12.75"/>
    <row r="4744" s="23" customFormat="1" ht="12.75"/>
    <row r="4745" s="23" customFormat="1" ht="12.75"/>
    <row r="4746" s="23" customFormat="1" ht="12.75"/>
    <row r="4747" s="23" customFormat="1" ht="12.75"/>
    <row r="4748" s="23" customFormat="1" ht="12.75"/>
    <row r="4749" s="23" customFormat="1" ht="12.75"/>
    <row r="4750" s="23" customFormat="1" ht="12.75"/>
    <row r="4751" s="23" customFormat="1" ht="12.75"/>
    <row r="4752" s="23" customFormat="1" ht="12.75"/>
    <row r="4753" s="23" customFormat="1" ht="12.75"/>
    <row r="4754" s="23" customFormat="1" ht="12.75"/>
    <row r="4755" s="23" customFormat="1" ht="12.75"/>
    <row r="4756" s="23" customFormat="1" ht="12.75"/>
    <row r="4757" s="23" customFormat="1" ht="12.75"/>
    <row r="4758" s="23" customFormat="1" ht="12.75"/>
    <row r="4759" s="23" customFormat="1" ht="12.75"/>
    <row r="4760" s="23" customFormat="1" ht="12.75"/>
    <row r="4761" s="23" customFormat="1" ht="12.75"/>
    <row r="4762" s="23" customFormat="1" ht="12.75"/>
    <row r="4763" s="23" customFormat="1" ht="12.75"/>
    <row r="4764" s="23" customFormat="1" ht="12.75"/>
    <row r="4765" s="23" customFormat="1" ht="12.75"/>
    <row r="4766" s="23" customFormat="1" ht="12.75"/>
    <row r="4767" s="23" customFormat="1" ht="12.75"/>
    <row r="4768" s="23" customFormat="1" ht="12.75"/>
    <row r="4769" s="23" customFormat="1" ht="12.75"/>
    <row r="4770" s="23" customFormat="1" ht="12.75"/>
    <row r="4771" s="23" customFormat="1" ht="12.75"/>
    <row r="4772" s="23" customFormat="1" ht="12.75"/>
    <row r="4773" s="23" customFormat="1" ht="12.75"/>
    <row r="4774" s="23" customFormat="1" ht="12.75"/>
    <row r="4775" s="23" customFormat="1" ht="12.75"/>
    <row r="4776" s="23" customFormat="1" ht="12.75"/>
    <row r="4777" s="23" customFormat="1" ht="12.75"/>
    <row r="4778" s="23" customFormat="1" ht="12.75"/>
    <row r="4779" s="23" customFormat="1" ht="12.75"/>
    <row r="4780" s="23" customFormat="1" ht="12.75"/>
    <row r="4781" s="23" customFormat="1" ht="12.75"/>
    <row r="4782" s="23" customFormat="1" ht="12.75"/>
    <row r="4783" s="23" customFormat="1" ht="12.75"/>
    <row r="4784" s="23" customFormat="1" ht="12.75"/>
    <row r="4785" s="23" customFormat="1" ht="12.75"/>
    <row r="4786" s="23" customFormat="1" ht="12.75"/>
    <row r="4787" s="23" customFormat="1" ht="12.75"/>
    <row r="4788" s="23" customFormat="1" ht="12.75"/>
    <row r="4789" s="23" customFormat="1" ht="12.75"/>
    <row r="4790" s="23" customFormat="1" ht="12.75"/>
    <row r="4791" s="23" customFormat="1" ht="12.75"/>
    <row r="4792" s="23" customFormat="1" ht="12.75"/>
    <row r="4793" s="23" customFormat="1" ht="12.75"/>
    <row r="4794" s="23" customFormat="1" ht="12.75"/>
    <row r="4795" s="23" customFormat="1" ht="12.75"/>
    <row r="4796" s="23" customFormat="1" ht="12.75"/>
    <row r="4797" s="23" customFormat="1" ht="12.75"/>
    <row r="4798" s="23" customFormat="1" ht="12.75"/>
    <row r="4799" s="23" customFormat="1" ht="12.75"/>
    <row r="4800" s="23" customFormat="1" ht="12.75"/>
    <row r="4801" s="23" customFormat="1" ht="12.75"/>
    <row r="4802" s="23" customFormat="1" ht="12.75"/>
    <row r="4803" s="23" customFormat="1" ht="12.75"/>
    <row r="4804" s="23" customFormat="1" ht="12.75"/>
    <row r="4805" s="23" customFormat="1" ht="12.75"/>
    <row r="4806" s="23" customFormat="1" ht="12.75"/>
    <row r="4807" s="23" customFormat="1" ht="12.75"/>
    <row r="4808" s="23" customFormat="1" ht="12.75"/>
    <row r="4809" s="23" customFormat="1" ht="12.75"/>
    <row r="4810" s="23" customFormat="1" ht="12.75"/>
    <row r="4811" s="23" customFormat="1" ht="12.75"/>
    <row r="4812" s="23" customFormat="1" ht="12.75"/>
    <row r="4813" s="23" customFormat="1" ht="12.75"/>
    <row r="4814" s="23" customFormat="1" ht="12.75"/>
    <row r="4815" s="23" customFormat="1" ht="12.75"/>
    <row r="4816" s="23" customFormat="1" ht="12.75"/>
    <row r="4817" s="23" customFormat="1" ht="12.75"/>
    <row r="4818" s="23" customFormat="1" ht="12.75"/>
    <row r="4819" s="23" customFormat="1" ht="12.75"/>
    <row r="4820" s="23" customFormat="1" ht="12.75"/>
    <row r="4821" s="23" customFormat="1" ht="12.75"/>
    <row r="4822" s="23" customFormat="1" ht="12.75"/>
    <row r="4823" s="23" customFormat="1" ht="12.75"/>
    <row r="4824" s="23" customFormat="1" ht="12.75"/>
    <row r="4825" s="23" customFormat="1" ht="12.75"/>
    <row r="4826" s="23" customFormat="1" ht="12.75"/>
    <row r="4827" s="23" customFormat="1" ht="12.75"/>
    <row r="4828" s="23" customFormat="1" ht="12.75"/>
    <row r="4829" s="23" customFormat="1" ht="12.75"/>
    <row r="4830" s="23" customFormat="1" ht="12.75"/>
    <row r="4831" s="23" customFormat="1" ht="12.75"/>
    <row r="4832" s="23" customFormat="1" ht="12.75"/>
    <row r="4833" s="23" customFormat="1" ht="12.75"/>
    <row r="4834" s="23" customFormat="1" ht="12.75"/>
    <row r="4835" s="23" customFormat="1" ht="12.75"/>
    <row r="4836" s="23" customFormat="1" ht="12.75"/>
    <row r="4837" s="23" customFormat="1" ht="12.75"/>
    <row r="4838" s="23" customFormat="1" ht="12.75"/>
    <row r="4839" s="23" customFormat="1" ht="12.75"/>
    <row r="4840" s="23" customFormat="1" ht="12.75"/>
    <row r="4841" s="23" customFormat="1" ht="12.75"/>
    <row r="4842" s="23" customFormat="1" ht="12.75"/>
    <row r="4843" s="23" customFormat="1" ht="12.75"/>
    <row r="4844" s="23" customFormat="1" ht="12.75"/>
    <row r="4845" s="23" customFormat="1" ht="12.75"/>
    <row r="4846" s="23" customFormat="1" ht="12.75"/>
    <row r="4847" s="23" customFormat="1" ht="12.75"/>
    <row r="4848" s="23" customFormat="1" ht="12.75"/>
    <row r="4849" s="23" customFormat="1" ht="12.75"/>
    <row r="4850" s="23" customFormat="1" ht="12.75"/>
    <row r="4851" s="23" customFormat="1" ht="12.75"/>
    <row r="4852" s="23" customFormat="1" ht="12.75"/>
    <row r="4853" s="23" customFormat="1" ht="12.75"/>
    <row r="4854" s="23" customFormat="1" ht="12.75"/>
    <row r="4855" s="23" customFormat="1" ht="12.75"/>
    <row r="4856" s="23" customFormat="1" ht="12.75"/>
    <row r="4857" s="23" customFormat="1" ht="12.75"/>
    <row r="4858" s="23" customFormat="1" ht="12.75"/>
    <row r="4859" s="23" customFormat="1" ht="12.75"/>
    <row r="4860" s="23" customFormat="1" ht="12.75"/>
    <row r="4861" s="23" customFormat="1" ht="12.75"/>
    <row r="4862" s="23" customFormat="1" ht="12.75"/>
    <row r="4863" s="23" customFormat="1" ht="12.75"/>
    <row r="4864" s="23" customFormat="1" ht="12.75"/>
    <row r="4865" s="23" customFormat="1" ht="12.75"/>
    <row r="4866" s="23" customFormat="1" ht="12.75"/>
    <row r="4867" s="23" customFormat="1" ht="12.75"/>
    <row r="4868" s="23" customFormat="1" ht="12.75"/>
    <row r="4869" s="23" customFormat="1" ht="12.75"/>
    <row r="4870" s="23" customFormat="1" ht="12.75"/>
    <row r="4871" s="23" customFormat="1" ht="12.75"/>
    <row r="4872" s="23" customFormat="1" ht="12.75"/>
    <row r="4873" s="23" customFormat="1" ht="12.75"/>
    <row r="4874" s="23" customFormat="1" ht="12.75"/>
    <row r="4875" s="23" customFormat="1" ht="12.75"/>
    <row r="4876" s="23" customFormat="1" ht="12.75"/>
    <row r="4877" s="23" customFormat="1" ht="12.75"/>
    <row r="4878" s="23" customFormat="1" ht="12.75"/>
    <row r="4879" s="23" customFormat="1" ht="12.75"/>
    <row r="4880" s="23" customFormat="1" ht="12.75"/>
    <row r="4881" s="23" customFormat="1" ht="12.75"/>
    <row r="4882" s="23" customFormat="1" ht="12.75"/>
    <row r="4883" s="23" customFormat="1" ht="12.75"/>
    <row r="4884" s="23" customFormat="1" ht="12.75"/>
    <row r="4885" s="23" customFormat="1" ht="12.75"/>
    <row r="4886" s="23" customFormat="1" ht="12.75"/>
    <row r="4887" s="23" customFormat="1" ht="12.75"/>
    <row r="4888" s="23" customFormat="1" ht="12.75"/>
    <row r="4889" s="23" customFormat="1" ht="12.75"/>
    <row r="4890" s="23" customFormat="1" ht="12.75"/>
    <row r="4891" s="23" customFormat="1" ht="12.75"/>
    <row r="4892" s="23" customFormat="1" ht="12.75"/>
    <row r="4893" s="23" customFormat="1" ht="12.75"/>
    <row r="4894" s="23" customFormat="1" ht="12.75"/>
    <row r="4895" s="23" customFormat="1" ht="12.75"/>
    <row r="4896" s="23" customFormat="1" ht="12.75"/>
    <row r="4897" s="23" customFormat="1" ht="12.75"/>
    <row r="4898" s="23" customFormat="1" ht="12.75"/>
    <row r="4899" s="23" customFormat="1" ht="12.75"/>
    <row r="4900" s="23" customFormat="1" ht="12.75"/>
    <row r="4901" s="23" customFormat="1" ht="12.75"/>
    <row r="4902" s="23" customFormat="1" ht="12.75"/>
    <row r="4903" s="23" customFormat="1" ht="12.75"/>
    <row r="4904" s="23" customFormat="1" ht="12.75"/>
    <row r="4905" s="23" customFormat="1" ht="12.75"/>
    <row r="4906" s="23" customFormat="1" ht="12.75"/>
    <row r="4907" s="23" customFormat="1" ht="12.75"/>
    <row r="4908" s="23" customFormat="1" ht="12.75"/>
    <row r="4909" s="23" customFormat="1" ht="12.75"/>
    <row r="4910" s="23" customFormat="1" ht="12.75"/>
    <row r="4911" s="23" customFormat="1" ht="12.75"/>
    <row r="4912" s="23" customFormat="1" ht="12.75"/>
    <row r="4913" s="23" customFormat="1" ht="12.75"/>
    <row r="4914" s="23" customFormat="1" ht="12.75"/>
    <row r="4915" s="23" customFormat="1" ht="12.75"/>
    <row r="4916" s="23" customFormat="1" ht="12.75"/>
    <row r="4917" s="23" customFormat="1" ht="12.75"/>
    <row r="4918" s="23" customFormat="1" ht="12.75"/>
    <row r="4919" s="23" customFormat="1" ht="12.75"/>
    <row r="4920" s="23" customFormat="1" ht="12.75"/>
    <row r="4921" s="23" customFormat="1" ht="12.75"/>
    <row r="4922" s="23" customFormat="1" ht="12.75"/>
    <row r="4923" s="23" customFormat="1" ht="12.75"/>
    <row r="4924" s="23" customFormat="1" ht="12.75"/>
    <row r="4925" s="23" customFormat="1" ht="12.75"/>
    <row r="4926" s="23" customFormat="1" ht="12.75"/>
    <row r="4927" s="23" customFormat="1" ht="12.75"/>
    <row r="4928" s="23" customFormat="1" ht="12.75"/>
    <row r="4929" s="23" customFormat="1" ht="12.75"/>
    <row r="4930" s="23" customFormat="1" ht="12.75"/>
    <row r="4931" s="23" customFormat="1" ht="12.75"/>
    <row r="4932" s="23" customFormat="1" ht="12.75"/>
    <row r="4933" s="23" customFormat="1" ht="12.75"/>
    <row r="4934" s="23" customFormat="1" ht="12.75"/>
    <row r="4935" s="23" customFormat="1" ht="12.75"/>
    <row r="4936" s="23" customFormat="1" ht="12.75"/>
    <row r="4937" s="23" customFormat="1" ht="12.75"/>
    <row r="4938" s="23" customFormat="1" ht="12.75"/>
    <row r="4939" s="23" customFormat="1" ht="12.75"/>
    <row r="4940" s="23" customFormat="1" ht="12.75"/>
    <row r="4941" s="23" customFormat="1" ht="12.75"/>
    <row r="4942" s="23" customFormat="1" ht="12.75"/>
    <row r="4943" s="23" customFormat="1" ht="12.75"/>
    <row r="4944" s="23" customFormat="1" ht="12.75"/>
    <row r="4945" s="23" customFormat="1" ht="12.75"/>
    <row r="4946" s="23" customFormat="1" ht="12.75"/>
    <row r="4947" s="23" customFormat="1" ht="12.75"/>
    <row r="4948" s="23" customFormat="1" ht="12.75"/>
    <row r="4949" s="23" customFormat="1" ht="12.75"/>
    <row r="4950" s="23" customFormat="1" ht="12.75"/>
    <row r="4951" s="23" customFormat="1" ht="12.75"/>
    <row r="4952" s="23" customFormat="1" ht="12.75"/>
    <row r="4953" s="23" customFormat="1" ht="12.75"/>
    <row r="4954" s="23" customFormat="1" ht="12.75"/>
    <row r="4955" s="23" customFormat="1" ht="12.75"/>
    <row r="4956" s="23" customFormat="1" ht="12.75"/>
    <row r="4957" s="23" customFormat="1" ht="12.75"/>
    <row r="4958" s="23" customFormat="1" ht="12.75"/>
    <row r="4959" s="23" customFormat="1" ht="12.75"/>
    <row r="4960" s="23" customFormat="1" ht="12.75"/>
    <row r="4961" s="23" customFormat="1" ht="12.75"/>
    <row r="4962" s="23" customFormat="1" ht="12.75"/>
    <row r="4963" s="23" customFormat="1" ht="12.75"/>
    <row r="4964" s="23" customFormat="1" ht="12.75"/>
    <row r="4965" s="23" customFormat="1" ht="12.75"/>
    <row r="4966" s="23" customFormat="1" ht="12.75"/>
    <row r="4967" s="23" customFormat="1" ht="12.75"/>
    <row r="4968" s="23" customFormat="1" ht="12.75"/>
    <row r="4969" s="23" customFormat="1" ht="12.75"/>
    <row r="4970" s="23" customFormat="1" ht="12.75"/>
    <row r="4971" s="23" customFormat="1" ht="12.75"/>
    <row r="4972" s="23" customFormat="1" ht="12.75"/>
    <row r="4973" s="23" customFormat="1" ht="12.75"/>
    <row r="4974" s="23" customFormat="1" ht="12.75"/>
    <row r="4975" s="23" customFormat="1" ht="12.75"/>
    <row r="4976" s="23" customFormat="1" ht="12.75"/>
    <row r="4977" s="23" customFormat="1" ht="12.75"/>
    <row r="4978" s="23" customFormat="1" ht="12.75"/>
    <row r="4979" s="23" customFormat="1" ht="12.75"/>
    <row r="4980" s="23" customFormat="1" ht="12.75"/>
    <row r="4981" s="23" customFormat="1" ht="12.75"/>
    <row r="4982" s="23" customFormat="1" ht="12.75"/>
    <row r="4983" s="23" customFormat="1" ht="12.75"/>
    <row r="4984" s="23" customFormat="1" ht="12.75"/>
    <row r="4985" s="23" customFormat="1" ht="12.75"/>
    <row r="4986" s="23" customFormat="1" ht="12.75"/>
    <row r="4987" s="23" customFormat="1" ht="12.75"/>
    <row r="4988" s="23" customFormat="1" ht="12.75"/>
    <row r="4989" s="23" customFormat="1" ht="12.75"/>
    <row r="4990" s="23" customFormat="1" ht="12.75"/>
    <row r="4991" s="23" customFormat="1" ht="12.75"/>
    <row r="4992" s="23" customFormat="1" ht="12.75"/>
    <row r="4993" s="23" customFormat="1" ht="12.75"/>
    <row r="4994" s="23" customFormat="1" ht="12.75"/>
    <row r="4995" s="23" customFormat="1" ht="12.75"/>
    <row r="4996" s="23" customFormat="1" ht="12.75"/>
    <row r="4997" s="23" customFormat="1" ht="12.75"/>
    <row r="4998" s="23" customFormat="1" ht="12.75"/>
    <row r="4999" s="23" customFormat="1" ht="12.75"/>
    <row r="5000" s="23" customFormat="1" ht="12.75"/>
    <row r="5001" s="23" customFormat="1" ht="12.75"/>
    <row r="5002" s="23" customFormat="1" ht="12.75"/>
    <row r="5003" s="23" customFormat="1" ht="12.75"/>
    <row r="5004" s="23" customFormat="1" ht="12.75"/>
    <row r="5005" s="23" customFormat="1" ht="12.75"/>
    <row r="5006" s="23" customFormat="1" ht="12.75"/>
    <row r="5007" s="23" customFormat="1" ht="12.75"/>
    <row r="5008" s="23" customFormat="1" ht="12.75"/>
    <row r="5009" s="23" customFormat="1" ht="12.75"/>
    <row r="5010" s="23" customFormat="1" ht="12.75"/>
    <row r="5011" s="23" customFormat="1" ht="12.75"/>
    <row r="5012" s="23" customFormat="1" ht="12.75"/>
    <row r="5013" s="23" customFormat="1" ht="12.75"/>
    <row r="5014" s="23" customFormat="1" ht="12.75"/>
    <row r="5015" s="23" customFormat="1" ht="12.75"/>
    <row r="5016" s="23" customFormat="1" ht="12.75"/>
    <row r="5017" s="23" customFormat="1" ht="12.75"/>
    <row r="5018" s="23" customFormat="1" ht="12.75"/>
    <row r="5019" s="23" customFormat="1" ht="12.75"/>
    <row r="5020" s="23" customFormat="1" ht="12.75"/>
    <row r="5021" s="23" customFormat="1" ht="12.75"/>
    <row r="5022" s="23" customFormat="1" ht="12.75"/>
    <row r="5023" s="23" customFormat="1" ht="12.75"/>
    <row r="5024" s="23" customFormat="1" ht="12.75"/>
    <row r="5025" s="23" customFormat="1" ht="12.75"/>
    <row r="5026" s="23" customFormat="1" ht="12.75"/>
    <row r="5027" s="23" customFormat="1" ht="12.75"/>
    <row r="5028" s="23" customFormat="1" ht="12.75"/>
    <row r="5029" s="23" customFormat="1" ht="12.75"/>
    <row r="5030" s="23" customFormat="1" ht="12.75"/>
    <row r="5031" s="23" customFormat="1" ht="12.75"/>
    <row r="5032" s="23" customFormat="1" ht="12.75"/>
    <row r="5033" s="23" customFormat="1" ht="12.75"/>
    <row r="5034" s="23" customFormat="1" ht="12.75"/>
    <row r="5035" s="23" customFormat="1" ht="12.75"/>
    <row r="5036" s="23" customFormat="1" ht="12.75"/>
    <row r="5037" s="23" customFormat="1" ht="12.75"/>
    <row r="5038" s="23" customFormat="1" ht="12.75"/>
    <row r="5039" s="23" customFormat="1" ht="12.75"/>
    <row r="5040" s="23" customFormat="1" ht="12.75"/>
    <row r="5041" s="23" customFormat="1" ht="12.75"/>
    <row r="5042" s="23" customFormat="1" ht="12.75"/>
    <row r="5043" s="23" customFormat="1" ht="12.75"/>
    <row r="5044" s="23" customFormat="1" ht="12.75"/>
    <row r="5045" s="23" customFormat="1" ht="12.75"/>
    <row r="5046" s="23" customFormat="1" ht="12.75"/>
    <row r="5047" s="23" customFormat="1" ht="12.75"/>
    <row r="5048" s="23" customFormat="1" ht="12.75"/>
    <row r="5049" s="23" customFormat="1" ht="12.75"/>
    <row r="5050" s="23" customFormat="1" ht="12.75"/>
    <row r="5051" s="23" customFormat="1" ht="12.75"/>
    <row r="5052" s="23" customFormat="1" ht="12.75"/>
    <row r="5053" s="23" customFormat="1" ht="12.75"/>
    <row r="5054" s="23" customFormat="1" ht="12.75"/>
    <row r="5055" s="23" customFormat="1" ht="12.75"/>
    <row r="5056" s="23" customFormat="1" ht="12.75"/>
    <row r="5057" s="23" customFormat="1" ht="12.75"/>
    <row r="5058" s="23" customFormat="1" ht="12.75"/>
    <row r="5059" s="23" customFormat="1" ht="12.75"/>
    <row r="5060" s="23" customFormat="1" ht="12.75"/>
    <row r="5061" s="23" customFormat="1" ht="12.75"/>
    <row r="5062" s="23" customFormat="1" ht="12.75"/>
    <row r="5063" s="23" customFormat="1" ht="12.75"/>
    <row r="5064" s="23" customFormat="1" ht="12.75"/>
    <row r="5065" s="23" customFormat="1" ht="12.75"/>
    <row r="5066" s="23" customFormat="1" ht="12.75"/>
    <row r="5067" s="23" customFormat="1" ht="12.75"/>
    <row r="5068" s="23" customFormat="1" ht="12.75"/>
    <row r="5069" s="23" customFormat="1" ht="12.75"/>
    <row r="5070" s="23" customFormat="1" ht="12.75"/>
    <row r="5071" s="23" customFormat="1" ht="12.75"/>
    <row r="5072" s="23" customFormat="1" ht="12.75"/>
    <row r="5073" s="23" customFormat="1" ht="12.75"/>
    <row r="5074" s="23" customFormat="1" ht="12.75"/>
    <row r="5075" s="23" customFormat="1" ht="12.75"/>
    <row r="5076" s="23" customFormat="1" ht="12.75"/>
    <row r="5077" s="23" customFormat="1" ht="12.75"/>
    <row r="5078" s="23" customFormat="1" ht="12.75"/>
    <row r="5079" s="23" customFormat="1" ht="12.75"/>
    <row r="5080" s="23" customFormat="1" ht="12.75"/>
    <row r="5081" s="23" customFormat="1" ht="12.75"/>
    <row r="5082" s="23" customFormat="1" ht="12.75"/>
    <row r="5083" s="23" customFormat="1" ht="12.75"/>
    <row r="5084" s="23" customFormat="1" ht="12.75"/>
    <row r="5085" s="23" customFormat="1" ht="12.75"/>
    <row r="5086" s="23" customFormat="1" ht="12.75"/>
    <row r="5087" s="23" customFormat="1" ht="12.75"/>
    <row r="5088" s="23" customFormat="1" ht="12.75"/>
    <row r="5089" s="23" customFormat="1" ht="12.75"/>
    <row r="5090" s="23" customFormat="1" ht="12.75"/>
    <row r="5091" s="23" customFormat="1" ht="12.75"/>
    <row r="5092" s="23" customFormat="1" ht="12.75"/>
    <row r="5093" s="23" customFormat="1" ht="12.75"/>
    <row r="5094" s="23" customFormat="1" ht="12.75"/>
    <row r="5095" s="23" customFormat="1" ht="12.75"/>
    <row r="5096" s="23" customFormat="1" ht="12.75"/>
    <row r="5097" s="23" customFormat="1" ht="12.75"/>
    <row r="5098" s="23" customFormat="1" ht="12.75"/>
    <row r="5099" s="23" customFormat="1" ht="12.75"/>
    <row r="5100" s="23" customFormat="1" ht="12.75"/>
    <row r="5101" s="23" customFormat="1" ht="12.75"/>
    <row r="5102" s="23" customFormat="1" ht="12.75"/>
    <row r="5103" s="23" customFormat="1" ht="12.75"/>
    <row r="5104" s="23" customFormat="1" ht="12.75"/>
    <row r="5105" s="23" customFormat="1" ht="12.75"/>
    <row r="5106" s="23" customFormat="1" ht="12.75"/>
    <row r="5107" s="23" customFormat="1" ht="12.75"/>
    <row r="5108" s="23" customFormat="1" ht="12.75"/>
    <row r="5109" s="23" customFormat="1" ht="12.75"/>
    <row r="5110" s="23" customFormat="1" ht="12.75"/>
    <row r="5111" s="23" customFormat="1" ht="12.75"/>
    <row r="5112" s="23" customFormat="1" ht="12.75"/>
    <row r="5113" s="23" customFormat="1" ht="12.75"/>
    <row r="5114" s="23" customFormat="1" ht="12.75"/>
    <row r="5115" s="23" customFormat="1" ht="12.75"/>
    <row r="5116" s="23" customFormat="1" ht="12.75"/>
    <row r="5117" s="23" customFormat="1" ht="12.75"/>
    <row r="5118" s="23" customFormat="1" ht="12.75"/>
    <row r="5119" s="23" customFormat="1" ht="12.75"/>
    <row r="5120" s="23" customFormat="1" ht="12.75"/>
    <row r="5121" s="23" customFormat="1" ht="12.75"/>
    <row r="5122" s="23" customFormat="1" ht="12.75"/>
    <row r="5123" s="23" customFormat="1" ht="12.75"/>
    <row r="5124" s="23" customFormat="1" ht="12.75"/>
    <row r="5125" s="23" customFormat="1" ht="12.75"/>
    <row r="5126" s="23" customFormat="1" ht="12.75"/>
    <row r="5127" s="23" customFormat="1" ht="12.75"/>
    <row r="5128" s="23" customFormat="1" ht="12.75"/>
    <row r="5129" s="23" customFormat="1" ht="12.75"/>
    <row r="5130" s="23" customFormat="1" ht="12.75"/>
    <row r="5131" s="23" customFormat="1" ht="12.75"/>
    <row r="5132" s="23" customFormat="1" ht="12.75"/>
    <row r="5133" s="23" customFormat="1" ht="12.75"/>
    <row r="5134" s="23" customFormat="1" ht="12.75"/>
    <row r="5135" s="23" customFormat="1" ht="12.75"/>
    <row r="5136" s="23" customFormat="1" ht="12.75"/>
    <row r="5137" s="23" customFormat="1" ht="12.75"/>
    <row r="5138" s="23" customFormat="1" ht="12.75"/>
    <row r="5139" s="23" customFormat="1" ht="12.75"/>
    <row r="5140" s="23" customFormat="1" ht="12.75"/>
    <row r="5141" s="23" customFormat="1" ht="12.75"/>
    <row r="5142" s="23" customFormat="1" ht="12.75"/>
    <row r="5143" s="23" customFormat="1" ht="12.75"/>
    <row r="5144" s="23" customFormat="1" ht="12.75"/>
    <row r="5145" s="23" customFormat="1" ht="12.75"/>
    <row r="5146" s="23" customFormat="1" ht="12.75"/>
    <row r="5147" s="23" customFormat="1" ht="12.75"/>
    <row r="5148" s="23" customFormat="1" ht="12.75"/>
    <row r="5149" s="23" customFormat="1" ht="12.75"/>
    <row r="5150" s="23" customFormat="1" ht="12.75"/>
    <row r="5151" s="23" customFormat="1" ht="12.75"/>
    <row r="5152" s="23" customFormat="1" ht="12.75"/>
    <row r="5153" s="23" customFormat="1" ht="12.75"/>
    <row r="5154" s="23" customFormat="1" ht="12.75"/>
    <row r="5155" s="23" customFormat="1" ht="12.75"/>
    <row r="5156" s="23" customFormat="1" ht="12.75"/>
    <row r="5157" s="23" customFormat="1" ht="12.75"/>
    <row r="5158" s="23" customFormat="1" ht="12.75"/>
    <row r="5159" s="23" customFormat="1" ht="12.75"/>
    <row r="5160" s="23" customFormat="1" ht="12.75"/>
    <row r="5161" s="23" customFormat="1" ht="12.75"/>
    <row r="5162" s="23" customFormat="1" ht="12.75"/>
    <row r="5163" s="23" customFormat="1" ht="12.75"/>
    <row r="5164" s="23" customFormat="1" ht="12.75"/>
    <row r="5165" s="23" customFormat="1" ht="12.75"/>
    <row r="5166" s="23" customFormat="1" ht="12.75"/>
    <row r="5167" s="23" customFormat="1" ht="12.75"/>
    <row r="5168" s="23" customFormat="1" ht="12.75"/>
    <row r="5169" s="23" customFormat="1" ht="12.75"/>
    <row r="5170" s="23" customFormat="1" ht="12.75"/>
    <row r="5171" s="23" customFormat="1" ht="12.75"/>
    <row r="5172" s="23" customFormat="1" ht="12.75"/>
    <row r="5173" s="23" customFormat="1" ht="12.75"/>
    <row r="5174" s="23" customFormat="1" ht="12.75"/>
    <row r="5175" s="23" customFormat="1" ht="12.75"/>
    <row r="5176" s="23" customFormat="1" ht="12.75"/>
    <row r="5177" s="23" customFormat="1" ht="12.75"/>
    <row r="5178" s="23" customFormat="1" ht="12.75"/>
    <row r="5179" s="23" customFormat="1" ht="12.75"/>
    <row r="5180" s="23" customFormat="1" ht="12.75"/>
    <row r="5181" s="23" customFormat="1" ht="12.75"/>
    <row r="5182" s="23" customFormat="1" ht="12.75"/>
    <row r="5183" s="23" customFormat="1" ht="12.75"/>
    <row r="5184" s="23" customFormat="1" ht="12.75"/>
    <row r="5185" s="23" customFormat="1" ht="12.75"/>
    <row r="5186" s="23" customFormat="1" ht="12.75"/>
    <row r="5187" s="23" customFormat="1" ht="12.75"/>
    <row r="5188" s="23" customFormat="1" ht="12.75"/>
    <row r="5189" s="23" customFormat="1" ht="12.75"/>
    <row r="5190" s="23" customFormat="1" ht="12.75"/>
    <row r="5191" s="23" customFormat="1" ht="12.75"/>
    <row r="5192" s="23" customFormat="1" ht="12.75"/>
    <row r="5193" s="23" customFormat="1" ht="12.75"/>
    <row r="5194" s="23" customFormat="1" ht="12.75"/>
    <row r="5195" s="23" customFormat="1" ht="12.75"/>
    <row r="5196" s="23" customFormat="1" ht="12.75"/>
    <row r="5197" s="23" customFormat="1" ht="12.75"/>
    <row r="5198" s="23" customFormat="1" ht="12.75"/>
    <row r="5199" s="23" customFormat="1" ht="12.75"/>
    <row r="5200" s="23" customFormat="1" ht="12.75"/>
    <row r="5201" s="23" customFormat="1" ht="12.75"/>
    <row r="5202" s="23" customFormat="1" ht="12.75"/>
    <row r="5203" s="23" customFormat="1" ht="12.75"/>
    <row r="5204" s="23" customFormat="1" ht="12.75"/>
    <row r="5205" s="23" customFormat="1" ht="12.75"/>
    <row r="5206" s="23" customFormat="1" ht="12.75"/>
    <row r="5207" s="23" customFormat="1" ht="12.75"/>
    <row r="5208" s="23" customFormat="1" ht="12.75"/>
    <row r="5209" s="23" customFormat="1" ht="12.75"/>
    <row r="5210" s="23" customFormat="1" ht="12.75"/>
    <row r="5211" s="23" customFormat="1" ht="12.75"/>
    <row r="5212" s="23" customFormat="1" ht="12.75"/>
    <row r="5213" s="23" customFormat="1" ht="12.75"/>
    <row r="5214" s="23" customFormat="1" ht="12.75"/>
    <row r="5215" s="23" customFormat="1" ht="12.75"/>
    <row r="5216" s="23" customFormat="1" ht="12.75"/>
    <row r="5217" s="23" customFormat="1" ht="12.75"/>
    <row r="5218" s="23" customFormat="1" ht="12.75"/>
    <row r="5219" s="23" customFormat="1" ht="12.75"/>
    <row r="5220" s="23" customFormat="1" ht="12.75"/>
    <row r="5221" s="23" customFormat="1" ht="12.75"/>
    <row r="5222" s="23" customFormat="1" ht="12.75"/>
    <row r="5223" s="23" customFormat="1" ht="12.75"/>
    <row r="5224" s="23" customFormat="1" ht="12.75"/>
    <row r="5225" s="23" customFormat="1" ht="12.75"/>
    <row r="5226" s="23" customFormat="1" ht="12.75"/>
    <row r="5227" s="23" customFormat="1" ht="12.75"/>
    <row r="5228" s="23" customFormat="1" ht="12.75"/>
    <row r="5229" s="23" customFormat="1" ht="12.75"/>
    <row r="5230" s="23" customFormat="1" ht="12.75"/>
    <row r="5231" s="23" customFormat="1" ht="12.75"/>
    <row r="5232" s="23" customFormat="1" ht="12.75"/>
    <row r="5233" s="23" customFormat="1" ht="12.75"/>
    <row r="5234" s="23" customFormat="1" ht="12.75"/>
    <row r="5235" s="23" customFormat="1" ht="12.75"/>
    <row r="5236" s="23" customFormat="1" ht="12.75"/>
    <row r="5237" s="23" customFormat="1" ht="12.75"/>
    <row r="5238" s="23" customFormat="1" ht="12.75"/>
    <row r="5239" s="23" customFormat="1" ht="12.75"/>
    <row r="5240" s="23" customFormat="1" ht="12.75"/>
    <row r="5241" s="23" customFormat="1" ht="12.75"/>
    <row r="5242" s="23" customFormat="1" ht="12.75"/>
    <row r="5243" s="23" customFormat="1" ht="12.75"/>
    <row r="5244" s="23" customFormat="1" ht="12.75"/>
    <row r="5245" s="23" customFormat="1" ht="12.75"/>
    <row r="5246" s="23" customFormat="1" ht="12.75"/>
    <row r="5247" s="23" customFormat="1" ht="12.75"/>
    <row r="5248" s="23" customFormat="1" ht="12.75"/>
    <row r="5249" s="23" customFormat="1" ht="12.75"/>
    <row r="5250" s="23" customFormat="1" ht="12.75"/>
    <row r="5251" s="23" customFormat="1" ht="12.75"/>
    <row r="5252" s="23" customFormat="1" ht="12.75"/>
    <row r="5253" s="23" customFormat="1" ht="12.75"/>
    <row r="5254" s="23" customFormat="1" ht="12.75"/>
    <row r="5255" s="23" customFormat="1" ht="12.75"/>
    <row r="5256" s="23" customFormat="1" ht="12.75"/>
    <row r="5257" s="23" customFormat="1" ht="12.75"/>
    <row r="5258" s="23" customFormat="1" ht="12.75"/>
    <row r="5259" s="23" customFormat="1" ht="12.75"/>
    <row r="5260" s="23" customFormat="1" ht="12.75"/>
    <row r="5261" s="23" customFormat="1" ht="12.75"/>
    <row r="5262" s="23" customFormat="1" ht="12.75"/>
    <row r="5263" s="23" customFormat="1" ht="12.75"/>
    <row r="5264" s="23" customFormat="1" ht="12.75"/>
    <row r="5265" s="23" customFormat="1" ht="12.75"/>
    <row r="5266" s="23" customFormat="1" ht="12.75"/>
    <row r="5267" s="23" customFormat="1" ht="12.75"/>
    <row r="5268" s="23" customFormat="1" ht="12.75"/>
    <row r="5269" s="23" customFormat="1" ht="12.75"/>
    <row r="5270" s="23" customFormat="1" ht="12.75"/>
    <row r="5271" s="23" customFormat="1" ht="12.75"/>
    <row r="5272" s="23" customFormat="1" ht="12.75"/>
    <row r="5273" s="23" customFormat="1" ht="12.75"/>
    <row r="5274" s="23" customFormat="1" ht="12.75"/>
    <row r="5275" s="23" customFormat="1" ht="12.75"/>
    <row r="5276" s="23" customFormat="1" ht="12.75"/>
    <row r="5277" s="23" customFormat="1" ht="12.75"/>
    <row r="5278" s="23" customFormat="1" ht="12.75"/>
    <row r="5279" s="23" customFormat="1" ht="12.75"/>
    <row r="5280" s="23" customFormat="1" ht="12.75"/>
    <row r="5281" s="23" customFormat="1" ht="12.75"/>
    <row r="5282" s="23" customFormat="1" ht="12.75"/>
    <row r="5283" s="23" customFormat="1" ht="12.75"/>
    <row r="5284" s="23" customFormat="1" ht="12.75"/>
    <row r="5285" s="23" customFormat="1" ht="12.75"/>
    <row r="5286" s="23" customFormat="1" ht="12.75"/>
    <row r="5287" s="23" customFormat="1" ht="12.75"/>
    <row r="5288" s="23" customFormat="1" ht="12.75"/>
    <row r="5289" s="23" customFormat="1" ht="12.75"/>
    <row r="5290" s="23" customFormat="1" ht="12.75"/>
    <row r="5291" s="23" customFormat="1" ht="12.75"/>
    <row r="5292" s="23" customFormat="1" ht="12.75"/>
    <row r="5293" s="23" customFormat="1" ht="12.75"/>
    <row r="5294" s="23" customFormat="1" ht="12.75"/>
    <row r="5295" s="23" customFormat="1" ht="12.75"/>
    <row r="5296" s="23" customFormat="1" ht="12.75"/>
    <row r="5297" s="23" customFormat="1" ht="12.75"/>
    <row r="5298" s="23" customFormat="1" ht="12.75"/>
    <row r="5299" s="23" customFormat="1" ht="12.75"/>
    <row r="5300" s="23" customFormat="1" ht="12.75"/>
    <row r="5301" s="23" customFormat="1" ht="12.75"/>
    <row r="5302" s="23" customFormat="1" ht="12.75"/>
    <row r="5303" s="23" customFormat="1" ht="12.75"/>
    <row r="5304" s="23" customFormat="1" ht="12.75"/>
    <row r="5305" s="23" customFormat="1" ht="12.75"/>
    <row r="5306" s="23" customFormat="1" ht="12.75"/>
    <row r="5307" s="23" customFormat="1" ht="12.75"/>
    <row r="5308" s="23" customFormat="1" ht="12.75"/>
    <row r="5309" s="23" customFormat="1" ht="12.75"/>
    <row r="5310" s="23" customFormat="1" ht="12.75"/>
    <row r="5311" s="23" customFormat="1" ht="12.75"/>
    <row r="5312" s="23" customFormat="1" ht="12.75"/>
    <row r="5313" s="23" customFormat="1" ht="12.75"/>
    <row r="5314" s="23" customFormat="1" ht="12.75"/>
    <row r="5315" s="23" customFormat="1" ht="12.75"/>
    <row r="5316" s="23" customFormat="1" ht="12.75"/>
    <row r="5317" s="23" customFormat="1" ht="12.75"/>
    <row r="5318" s="23" customFormat="1" ht="12.75"/>
    <row r="5319" s="23" customFormat="1" ht="12.75"/>
    <row r="5320" s="23" customFormat="1" ht="12.75"/>
    <row r="5321" s="23" customFormat="1" ht="12.75"/>
    <row r="5322" s="23" customFormat="1" ht="12.75"/>
    <row r="5323" s="23" customFormat="1" ht="12.75"/>
    <row r="5324" s="23" customFormat="1" ht="12.75"/>
    <row r="5325" s="23" customFormat="1" ht="12.75"/>
    <row r="5326" s="23" customFormat="1" ht="12.75"/>
    <row r="5327" s="23" customFormat="1" ht="12.75"/>
    <row r="5328" s="23" customFormat="1" ht="12.75"/>
    <row r="5329" s="23" customFormat="1" ht="12.75"/>
    <row r="5330" s="23" customFormat="1" ht="12.75"/>
    <row r="5331" s="23" customFormat="1" ht="12.75"/>
    <row r="5332" s="23" customFormat="1" ht="12.75"/>
    <row r="5333" s="23" customFormat="1" ht="12.75"/>
    <row r="5334" s="23" customFormat="1" ht="12.75"/>
    <row r="5335" s="23" customFormat="1" ht="12.75"/>
    <row r="5336" s="23" customFormat="1" ht="12.75"/>
    <row r="5337" s="23" customFormat="1" ht="12.75"/>
    <row r="5338" s="23" customFormat="1" ht="12.75"/>
    <row r="5339" s="23" customFormat="1" ht="12.75"/>
    <row r="5340" s="23" customFormat="1" ht="12.75"/>
    <row r="5341" s="23" customFormat="1" ht="12.75"/>
    <row r="5342" s="23" customFormat="1" ht="12.75"/>
    <row r="5343" s="23" customFormat="1" ht="12.75"/>
    <row r="5344" s="23" customFormat="1" ht="12.75"/>
    <row r="5345" s="23" customFormat="1" ht="12.75"/>
    <row r="5346" s="23" customFormat="1" ht="12.75"/>
    <row r="5347" s="23" customFormat="1" ht="12.75"/>
    <row r="5348" s="23" customFormat="1" ht="12.75"/>
    <row r="5349" s="23" customFormat="1" ht="12.75"/>
    <row r="5350" s="23" customFormat="1" ht="12.75"/>
    <row r="5351" s="23" customFormat="1" ht="12.75"/>
    <row r="5352" s="23" customFormat="1" ht="12.75"/>
    <row r="5353" s="23" customFormat="1" ht="12.75"/>
    <row r="5354" s="23" customFormat="1" ht="12.75"/>
    <row r="5355" s="23" customFormat="1" ht="12.75"/>
    <row r="5356" s="23" customFormat="1" ht="12.75"/>
    <row r="5357" s="23" customFormat="1" ht="12.75"/>
    <row r="5358" s="23" customFormat="1" ht="12.75"/>
    <row r="5359" s="23" customFormat="1" ht="12.75"/>
    <row r="5360" s="23" customFormat="1" ht="12.75"/>
    <row r="5361" s="23" customFormat="1" ht="12.75"/>
    <row r="5362" s="23" customFormat="1" ht="12.75"/>
    <row r="5363" s="23" customFormat="1" ht="12.75"/>
    <row r="5364" s="23" customFormat="1" ht="12.75"/>
    <row r="5365" s="23" customFormat="1" ht="12.75"/>
    <row r="5366" s="23" customFormat="1" ht="12.75"/>
    <row r="5367" s="23" customFormat="1" ht="12.75"/>
    <row r="5368" s="23" customFormat="1" ht="12.75"/>
    <row r="5369" s="23" customFormat="1" ht="12.75"/>
    <row r="5370" s="23" customFormat="1" ht="12.75"/>
    <row r="5371" s="23" customFormat="1" ht="12.75"/>
    <row r="5372" s="23" customFormat="1" ht="12.75"/>
    <row r="5373" s="23" customFormat="1" ht="12.75"/>
    <row r="5374" s="23" customFormat="1" ht="12.75"/>
    <row r="5375" s="23" customFormat="1" ht="12.75"/>
    <row r="5376" s="23" customFormat="1" ht="12.75"/>
    <row r="5377" s="23" customFormat="1" ht="12.75"/>
    <row r="5378" s="23" customFormat="1" ht="12.75"/>
    <row r="5379" s="23" customFormat="1" ht="12.75"/>
    <row r="5380" s="23" customFormat="1" ht="12.75"/>
    <row r="5381" s="23" customFormat="1" ht="12.75"/>
    <row r="5382" s="23" customFormat="1" ht="12.75"/>
    <row r="5383" s="23" customFormat="1" ht="12.75"/>
    <row r="5384" s="23" customFormat="1" ht="12.75"/>
    <row r="5385" s="23" customFormat="1" ht="12.75"/>
    <row r="5386" s="23" customFormat="1" ht="12.75"/>
    <row r="5387" s="23" customFormat="1" ht="12.75"/>
    <row r="5388" s="23" customFormat="1" ht="12.75"/>
    <row r="5389" s="23" customFormat="1" ht="12.75"/>
    <row r="5390" s="23" customFormat="1" ht="12.75"/>
    <row r="5391" s="23" customFormat="1" ht="12.75"/>
    <row r="5392" s="23" customFormat="1" ht="12.75"/>
    <row r="5393" s="23" customFormat="1" ht="12.75"/>
    <row r="5394" s="23" customFormat="1" ht="12.75"/>
    <row r="5395" s="23" customFormat="1" ht="12.75"/>
    <row r="5396" s="23" customFormat="1" ht="12.75"/>
    <row r="5397" s="23" customFormat="1" ht="12.75"/>
    <row r="5398" s="23" customFormat="1" ht="12.75"/>
    <row r="5399" s="23" customFormat="1" ht="12.75"/>
    <row r="5400" s="23" customFormat="1" ht="12.75"/>
    <row r="5401" s="23" customFormat="1" ht="12.75"/>
    <row r="5402" s="23" customFormat="1" ht="12.75"/>
    <row r="5403" s="23" customFormat="1" ht="12.75"/>
    <row r="5404" s="23" customFormat="1" ht="12.75"/>
    <row r="5405" s="23" customFormat="1" ht="12.75"/>
    <row r="5406" s="23" customFormat="1" ht="12.75"/>
    <row r="5407" s="23" customFormat="1" ht="12.75"/>
    <row r="5408" s="23" customFormat="1" ht="12.75"/>
    <row r="5409" s="23" customFormat="1" ht="12.75"/>
    <row r="5410" s="23" customFormat="1" ht="12.75"/>
    <row r="5411" s="23" customFormat="1" ht="12.75"/>
    <row r="5412" s="23" customFormat="1" ht="12.75"/>
    <row r="5413" s="23" customFormat="1" ht="12.75"/>
    <row r="5414" s="23" customFormat="1" ht="12.75"/>
    <row r="5415" s="23" customFormat="1" ht="12.75"/>
    <row r="5416" s="23" customFormat="1" ht="12.75"/>
    <row r="5417" s="23" customFormat="1" ht="12.75"/>
    <row r="5418" s="23" customFormat="1" ht="12.75"/>
    <row r="5419" s="23" customFormat="1" ht="12.75"/>
    <row r="5420" s="23" customFormat="1" ht="12.75"/>
    <row r="5421" s="23" customFormat="1" ht="12.75"/>
    <row r="5422" s="23" customFormat="1" ht="12.75"/>
    <row r="5423" s="23" customFormat="1" ht="12.75"/>
    <row r="5424" s="23" customFormat="1" ht="12.75"/>
    <row r="5425" s="23" customFormat="1" ht="12.75"/>
    <row r="5426" s="23" customFormat="1" ht="12.75"/>
    <row r="5427" s="23" customFormat="1" ht="12.75"/>
    <row r="5428" s="23" customFormat="1" ht="12.75"/>
    <row r="5429" s="23" customFormat="1" ht="12.75"/>
    <row r="5430" s="23" customFormat="1" ht="12.75"/>
    <row r="5431" s="23" customFormat="1" ht="12.75"/>
    <row r="5432" s="23" customFormat="1" ht="12.75"/>
    <row r="5433" s="23" customFormat="1" ht="12.75"/>
    <row r="5434" s="23" customFormat="1" ht="12.75"/>
    <row r="5435" s="23" customFormat="1" ht="12.75"/>
    <row r="5436" s="23" customFormat="1" ht="12.75"/>
    <row r="5437" s="23" customFormat="1" ht="12.75"/>
    <row r="5438" s="23" customFormat="1" ht="12.75"/>
    <row r="5439" s="23" customFormat="1" ht="12.75"/>
    <row r="5440" s="23" customFormat="1" ht="12.75"/>
    <row r="5441" s="23" customFormat="1" ht="12.75"/>
    <row r="5442" s="23" customFormat="1" ht="12.75"/>
    <row r="5443" s="23" customFormat="1" ht="12.75"/>
    <row r="5444" s="23" customFormat="1" ht="12.75"/>
    <row r="5445" s="23" customFormat="1" ht="12.75"/>
    <row r="5446" s="23" customFormat="1" ht="12.75"/>
    <row r="5447" s="23" customFormat="1" ht="12.75"/>
    <row r="5448" s="23" customFormat="1" ht="12.75"/>
    <row r="5449" s="23" customFormat="1" ht="12.75"/>
    <row r="5450" s="23" customFormat="1" ht="12.75"/>
    <row r="5451" s="23" customFormat="1" ht="12.75"/>
    <row r="5452" s="23" customFormat="1" ht="12.75"/>
    <row r="5453" s="23" customFormat="1" ht="12.75"/>
    <row r="5454" s="23" customFormat="1" ht="12.75"/>
    <row r="5455" s="23" customFormat="1" ht="12.75"/>
    <row r="5456" s="23" customFormat="1" ht="12.75"/>
    <row r="5457" s="23" customFormat="1" ht="12.75"/>
    <row r="5458" s="23" customFormat="1" ht="12.75"/>
    <row r="5459" s="23" customFormat="1" ht="12.75"/>
    <row r="5460" s="23" customFormat="1" ht="12.75"/>
    <row r="5461" s="23" customFormat="1" ht="12.75"/>
    <row r="5462" s="23" customFormat="1" ht="12.75"/>
    <row r="5463" s="23" customFormat="1" ht="12.75"/>
    <row r="5464" s="23" customFormat="1" ht="12.75"/>
    <row r="5465" s="23" customFormat="1" ht="12.75"/>
    <row r="5466" s="23" customFormat="1" ht="12.75"/>
    <row r="5467" s="23" customFormat="1" ht="12.75"/>
    <row r="5468" s="23" customFormat="1" ht="12.75"/>
    <row r="5469" s="23" customFormat="1" ht="12.75"/>
    <row r="5470" s="23" customFormat="1" ht="12.75"/>
    <row r="5471" s="23" customFormat="1" ht="12.75"/>
    <row r="5472" s="23" customFormat="1" ht="12.75"/>
    <row r="5473" s="23" customFormat="1" ht="12.75"/>
    <row r="5474" s="23" customFormat="1" ht="12.75"/>
    <row r="5475" s="23" customFormat="1" ht="12.75"/>
    <row r="5476" s="23" customFormat="1" ht="12.75"/>
    <row r="5477" s="23" customFormat="1" ht="12.75"/>
    <row r="5478" s="23" customFormat="1" ht="12.75"/>
    <row r="5479" s="23" customFormat="1" ht="12.75"/>
    <row r="5480" s="23" customFormat="1" ht="12.75"/>
    <row r="5481" s="23" customFormat="1" ht="12.75"/>
    <row r="5482" s="23" customFormat="1" ht="12.75"/>
    <row r="5483" s="23" customFormat="1" ht="12.75"/>
    <row r="5484" s="23" customFormat="1" ht="12.75"/>
    <row r="5485" s="23" customFormat="1" ht="12.75"/>
    <row r="5486" s="23" customFormat="1" ht="12.75"/>
    <row r="5487" s="23" customFormat="1" ht="12.75"/>
    <row r="5488" s="23" customFormat="1" ht="12.75"/>
    <row r="5489" s="23" customFormat="1" ht="12.75"/>
    <row r="5490" s="23" customFormat="1" ht="12.75"/>
    <row r="5491" s="23" customFormat="1" ht="12.75"/>
    <row r="5492" s="23" customFormat="1" ht="12.75"/>
    <row r="5493" s="23" customFormat="1" ht="12.75"/>
    <row r="5494" s="23" customFormat="1" ht="12.75"/>
    <row r="5495" s="23" customFormat="1" ht="12.75"/>
    <row r="5496" s="23" customFormat="1" ht="12.75"/>
    <row r="5497" s="23" customFormat="1" ht="12.75"/>
    <row r="5498" s="23" customFormat="1" ht="12.75"/>
    <row r="5499" s="23" customFormat="1" ht="12.75"/>
    <row r="5500" s="23" customFormat="1" ht="12.75"/>
    <row r="5501" s="23" customFormat="1" ht="12.75"/>
    <row r="5502" s="23" customFormat="1" ht="12.75"/>
    <row r="5503" s="23" customFormat="1" ht="12.75"/>
    <row r="5504" s="23" customFormat="1" ht="12.75"/>
    <row r="5505" s="23" customFormat="1" ht="12.75"/>
    <row r="5506" s="23" customFormat="1" ht="12.75"/>
    <row r="5507" s="23" customFormat="1" ht="12.75"/>
    <row r="5508" s="23" customFormat="1" ht="12.75"/>
    <row r="5509" s="23" customFormat="1" ht="12.75"/>
    <row r="5510" s="23" customFormat="1" ht="12.75"/>
    <row r="5511" s="23" customFormat="1" ht="12.75"/>
    <row r="5512" s="23" customFormat="1" ht="12.75"/>
    <row r="5513" s="23" customFormat="1" ht="12.75"/>
    <row r="5514" s="23" customFormat="1" ht="12.75"/>
    <row r="5515" s="23" customFormat="1" ht="12.75"/>
    <row r="5516" s="23" customFormat="1" ht="12.75"/>
    <row r="5517" s="23" customFormat="1" ht="12.75"/>
    <row r="5518" s="23" customFormat="1" ht="12.75"/>
    <row r="5519" s="23" customFormat="1" ht="12.75"/>
    <row r="5520" s="23" customFormat="1" ht="12.75"/>
    <row r="5521" s="23" customFormat="1" ht="12.75"/>
    <row r="5522" s="23" customFormat="1" ht="12.75"/>
    <row r="5523" s="23" customFormat="1" ht="12.75"/>
    <row r="5524" s="23" customFormat="1" ht="12.75"/>
    <row r="5525" s="23" customFormat="1" ht="12.75"/>
    <row r="5526" s="23" customFormat="1" ht="12.75"/>
    <row r="5527" s="23" customFormat="1" ht="12.75"/>
    <row r="5528" s="23" customFormat="1" ht="12.75"/>
    <row r="5529" s="23" customFormat="1" ht="12.75"/>
    <row r="5530" s="23" customFormat="1" ht="12.75"/>
    <row r="5531" s="23" customFormat="1" ht="12.75"/>
    <row r="5532" s="23" customFormat="1" ht="12.75"/>
    <row r="5533" s="23" customFormat="1" ht="12.75"/>
    <row r="5534" s="23" customFormat="1" ht="12.75"/>
    <row r="5535" s="23" customFormat="1" ht="12.75"/>
    <row r="5536" s="23" customFormat="1" ht="12.75"/>
    <row r="5537" s="23" customFormat="1" ht="12.75"/>
    <row r="5538" s="23" customFormat="1" ht="12.75"/>
    <row r="5539" s="23" customFormat="1" ht="12.75"/>
    <row r="5540" s="23" customFormat="1" ht="12.75"/>
    <row r="5541" s="23" customFormat="1" ht="12.75"/>
    <row r="5542" s="23" customFormat="1" ht="12.75"/>
    <row r="5543" s="23" customFormat="1" ht="12.75"/>
    <row r="5544" s="23" customFormat="1" ht="12.75"/>
    <row r="5545" s="23" customFormat="1" ht="12.75"/>
    <row r="5546" s="23" customFormat="1" ht="12.75"/>
    <row r="5547" s="23" customFormat="1" ht="12.75"/>
    <row r="5548" s="23" customFormat="1" ht="12.75"/>
    <row r="5549" s="23" customFormat="1" ht="12.75"/>
    <row r="5550" s="23" customFormat="1" ht="12.75"/>
    <row r="5551" s="23" customFormat="1" ht="12.75"/>
    <row r="5552" s="23" customFormat="1" ht="12.75"/>
    <row r="5553" s="23" customFormat="1" ht="12.75"/>
    <row r="5554" s="23" customFormat="1" ht="12.75"/>
    <row r="5555" s="23" customFormat="1" ht="12.75"/>
    <row r="5556" s="23" customFormat="1" ht="12.75"/>
    <row r="5557" s="23" customFormat="1" ht="12.75"/>
    <row r="5558" s="23" customFormat="1" ht="12.75"/>
    <row r="5559" s="23" customFormat="1" ht="12.75"/>
    <row r="5560" s="23" customFormat="1" ht="12.75"/>
    <row r="5561" s="23" customFormat="1" ht="12.75"/>
    <row r="5562" s="23" customFormat="1" ht="12.75"/>
    <row r="5563" s="23" customFormat="1" ht="12.75"/>
    <row r="5564" s="23" customFormat="1" ht="12.75"/>
    <row r="5565" s="23" customFormat="1" ht="12.75"/>
    <row r="5566" s="23" customFormat="1" ht="12.75"/>
    <row r="5567" s="23" customFormat="1" ht="12.75"/>
    <row r="5568" s="23" customFormat="1" ht="12.75"/>
    <row r="5569" s="23" customFormat="1" ht="12.75"/>
    <row r="5570" s="23" customFormat="1" ht="12.75"/>
    <row r="5571" s="23" customFormat="1" ht="12.75"/>
    <row r="5572" s="23" customFormat="1" ht="12.75"/>
    <row r="5573" s="23" customFormat="1" ht="12.75"/>
    <row r="5574" s="23" customFormat="1" ht="12.75"/>
    <row r="5575" s="23" customFormat="1" ht="12.75"/>
    <row r="5576" s="23" customFormat="1" ht="12.75"/>
    <row r="5577" s="23" customFormat="1" ht="12.75"/>
    <row r="5578" s="23" customFormat="1" ht="12.75"/>
    <row r="5579" s="23" customFormat="1" ht="12.75"/>
    <row r="5580" s="23" customFormat="1" ht="12.75"/>
    <row r="5581" s="23" customFormat="1" ht="12.75"/>
    <row r="5582" s="23" customFormat="1" ht="12.75"/>
    <row r="5583" s="23" customFormat="1" ht="12.75"/>
    <row r="5584" s="23" customFormat="1" ht="12.75"/>
    <row r="5585" s="23" customFormat="1" ht="12.75"/>
    <row r="5586" s="23" customFormat="1" ht="12.75"/>
    <row r="5587" s="23" customFormat="1" ht="12.75"/>
    <row r="5588" s="23" customFormat="1" ht="12.75"/>
    <row r="5589" s="23" customFormat="1" ht="12.75"/>
    <row r="5590" s="23" customFormat="1" ht="12.75"/>
    <row r="5591" s="23" customFormat="1" ht="12.75"/>
    <row r="5592" s="23" customFormat="1" ht="12.75"/>
    <row r="5593" s="23" customFormat="1" ht="12.75"/>
    <row r="5594" s="23" customFormat="1" ht="12.75"/>
    <row r="5595" s="23" customFormat="1" ht="12.75"/>
    <row r="5596" s="23" customFormat="1" ht="12.75"/>
    <row r="5597" s="23" customFormat="1" ht="12.75"/>
    <row r="5598" s="23" customFormat="1" ht="12.75"/>
    <row r="5599" s="23" customFormat="1" ht="12.75"/>
    <row r="5600" s="23" customFormat="1" ht="12.75"/>
    <row r="5601" s="23" customFormat="1" ht="12.75"/>
    <row r="5602" s="23" customFormat="1" ht="12.75"/>
    <row r="5603" s="23" customFormat="1" ht="12.75"/>
    <row r="5604" s="23" customFormat="1" ht="12.75"/>
    <row r="5605" s="23" customFormat="1" ht="12.75"/>
    <row r="5606" s="23" customFormat="1" ht="12.75"/>
    <row r="5607" s="23" customFormat="1" ht="12.75"/>
    <row r="5608" s="23" customFormat="1" ht="12.75"/>
    <row r="5609" s="23" customFormat="1" ht="12.75"/>
    <row r="5610" s="23" customFormat="1" ht="12.75"/>
    <row r="5611" s="23" customFormat="1" ht="12.75"/>
    <row r="5612" s="23" customFormat="1" ht="12.75"/>
    <row r="5613" s="23" customFormat="1" ht="12.75"/>
    <row r="5614" s="23" customFormat="1" ht="12.75"/>
    <row r="5615" s="23" customFormat="1" ht="12.75"/>
    <row r="5616" s="23" customFormat="1" ht="12.75"/>
    <row r="5617" s="23" customFormat="1" ht="12.75"/>
    <row r="5618" s="23" customFormat="1" ht="12.75"/>
    <row r="5619" s="23" customFormat="1" ht="12.75"/>
    <row r="5620" s="23" customFormat="1" ht="12.75"/>
    <row r="5621" s="23" customFormat="1" ht="12.75"/>
    <row r="5622" s="23" customFormat="1" ht="12.75"/>
    <row r="5623" s="23" customFormat="1" ht="12.75"/>
    <row r="5624" s="23" customFormat="1" ht="12.75"/>
    <row r="5625" s="23" customFormat="1" ht="12.75"/>
    <row r="5626" s="23" customFormat="1" ht="12.75"/>
    <row r="5627" s="23" customFormat="1" ht="12.75"/>
    <row r="5628" s="23" customFormat="1" ht="12.75"/>
    <row r="5629" s="23" customFormat="1" ht="12.75"/>
    <row r="5630" s="23" customFormat="1" ht="12.75"/>
    <row r="5631" s="23" customFormat="1" ht="12.75"/>
    <row r="5632" s="23" customFormat="1" ht="12.75"/>
    <row r="5633" s="23" customFormat="1" ht="12.75"/>
    <row r="5634" s="23" customFormat="1" ht="12.75"/>
    <row r="5635" s="23" customFormat="1" ht="12.75"/>
    <row r="5636" s="23" customFormat="1" ht="12.75"/>
    <row r="5637" s="23" customFormat="1" ht="12.75"/>
    <row r="5638" s="23" customFormat="1" ht="12.75"/>
    <row r="5639" s="23" customFormat="1" ht="12.75"/>
    <row r="5640" s="23" customFormat="1" ht="12.75"/>
    <row r="5641" s="23" customFormat="1" ht="12.75"/>
    <row r="5642" s="23" customFormat="1" ht="12.75"/>
    <row r="5643" s="23" customFormat="1" ht="12.75"/>
    <row r="5644" s="23" customFormat="1" ht="12.75"/>
    <row r="5645" s="23" customFormat="1" ht="12.75"/>
    <row r="5646" s="23" customFormat="1" ht="12.75"/>
    <row r="5647" s="23" customFormat="1" ht="12.75"/>
    <row r="5648" s="23" customFormat="1" ht="12.75"/>
    <row r="5649" s="23" customFormat="1" ht="12.75"/>
    <row r="5650" s="23" customFormat="1" ht="12.75"/>
    <row r="5651" s="23" customFormat="1" ht="12.75"/>
    <row r="5652" s="23" customFormat="1" ht="12.75"/>
    <row r="5653" s="23" customFormat="1" ht="12.75"/>
    <row r="5654" s="23" customFormat="1" ht="12.75"/>
    <row r="5655" s="23" customFormat="1" ht="12.75"/>
    <row r="5656" s="23" customFormat="1" ht="12.75"/>
    <row r="5657" s="23" customFormat="1" ht="12.75"/>
    <row r="5658" s="23" customFormat="1" ht="12.75"/>
    <row r="5659" s="23" customFormat="1" ht="12.75"/>
    <row r="5660" s="23" customFormat="1" ht="12.75"/>
    <row r="5661" s="23" customFormat="1" ht="12.75"/>
    <row r="5662" s="23" customFormat="1" ht="12.75"/>
    <row r="5663" s="23" customFormat="1" ht="12.75"/>
    <row r="5664" s="23" customFormat="1" ht="12.75"/>
    <row r="5665" s="23" customFormat="1" ht="12.75"/>
    <row r="5666" s="23" customFormat="1" ht="12.75"/>
    <row r="5667" s="23" customFormat="1" ht="12.75"/>
    <row r="5668" s="23" customFormat="1" ht="12.75"/>
    <row r="5669" s="23" customFormat="1" ht="12.75"/>
    <row r="5670" s="23" customFormat="1" ht="12.75"/>
    <row r="5671" s="23" customFormat="1" ht="12.75"/>
    <row r="5672" s="23" customFormat="1" ht="12.75"/>
    <row r="5673" s="23" customFormat="1" ht="12.75"/>
    <row r="5674" s="23" customFormat="1" ht="12.75"/>
    <row r="5675" s="23" customFormat="1" ht="12.75"/>
    <row r="5676" s="23" customFormat="1" ht="12.75"/>
    <row r="5677" s="23" customFormat="1" ht="12.75"/>
    <row r="5678" s="23" customFormat="1" ht="12.75"/>
    <row r="5679" s="23" customFormat="1" ht="12.75"/>
    <row r="5680" s="23" customFormat="1" ht="12.75"/>
    <row r="5681" s="23" customFormat="1" ht="12.75"/>
    <row r="5682" s="23" customFormat="1" ht="12.75"/>
    <row r="5683" s="23" customFormat="1" ht="12.75"/>
    <row r="5684" s="23" customFormat="1" ht="12.75"/>
    <row r="5685" s="23" customFormat="1" ht="12.75"/>
    <row r="5686" s="23" customFormat="1" ht="12.75"/>
    <row r="5687" s="23" customFormat="1" ht="12.75"/>
    <row r="5688" s="23" customFormat="1" ht="12.75"/>
    <row r="5689" s="23" customFormat="1" ht="12.75"/>
    <row r="5690" s="23" customFormat="1" ht="12.75"/>
    <row r="5691" s="23" customFormat="1" ht="12.75"/>
    <row r="5692" s="23" customFormat="1" ht="12.75"/>
    <row r="5693" s="23" customFormat="1" ht="12.75"/>
    <row r="5694" s="23" customFormat="1" ht="12.75"/>
    <row r="5695" s="23" customFormat="1" ht="12.75"/>
    <row r="5696" s="23" customFormat="1" ht="12.75"/>
    <row r="5697" s="23" customFormat="1" ht="12.75"/>
    <row r="5698" s="23" customFormat="1" ht="12.75"/>
    <row r="5699" s="23" customFormat="1" ht="12.75"/>
    <row r="5700" s="23" customFormat="1" ht="12.75"/>
    <row r="5701" s="23" customFormat="1" ht="12.75"/>
    <row r="5702" s="23" customFormat="1" ht="12.75"/>
    <row r="5703" s="23" customFormat="1" ht="12.75"/>
    <row r="5704" s="23" customFormat="1" ht="12.75"/>
    <row r="5705" s="23" customFormat="1" ht="12.75"/>
    <row r="5706" s="23" customFormat="1" ht="12.75"/>
    <row r="5707" s="23" customFormat="1" ht="12.75"/>
    <row r="5708" s="23" customFormat="1" ht="12.75"/>
    <row r="5709" s="23" customFormat="1" ht="12.75"/>
    <row r="5710" s="23" customFormat="1" ht="12.75"/>
    <row r="5711" s="23" customFormat="1" ht="12.75"/>
    <row r="5712" s="23" customFormat="1" ht="12.75"/>
    <row r="5713" s="23" customFormat="1" ht="12.75"/>
    <row r="5714" s="23" customFormat="1" ht="12.75"/>
    <row r="5715" s="23" customFormat="1" ht="12.75"/>
    <row r="5716" s="23" customFormat="1" ht="12.75"/>
    <row r="5717" s="23" customFormat="1" ht="12.75"/>
    <row r="5718" s="23" customFormat="1" ht="12.75"/>
    <row r="5719" s="23" customFormat="1" ht="12.75"/>
    <row r="5720" s="23" customFormat="1" ht="12.75"/>
    <row r="5721" s="23" customFormat="1" ht="12.75"/>
    <row r="5722" s="23" customFormat="1" ht="12.75"/>
    <row r="5723" s="23" customFormat="1" ht="12.75"/>
    <row r="5724" s="23" customFormat="1" ht="12.75"/>
    <row r="5725" s="23" customFormat="1" ht="12.75"/>
    <row r="5726" s="23" customFormat="1" ht="12.75"/>
    <row r="5727" s="23" customFormat="1" ht="12.75"/>
    <row r="5728" s="23" customFormat="1" ht="12.75"/>
    <row r="5729" s="23" customFormat="1" ht="12.75"/>
    <row r="5730" s="23" customFormat="1" ht="12.75"/>
    <row r="5731" s="23" customFormat="1" ht="12.75"/>
    <row r="5732" s="23" customFormat="1" ht="12.75"/>
    <row r="5733" s="23" customFormat="1" ht="12.75"/>
    <row r="5734" s="23" customFormat="1" ht="12.75"/>
    <row r="5735" s="23" customFormat="1" ht="12.75"/>
    <row r="5736" s="23" customFormat="1" ht="12.75"/>
    <row r="5737" s="23" customFormat="1" ht="12.75"/>
    <row r="5738" s="23" customFormat="1" ht="12.75"/>
    <row r="5739" s="23" customFormat="1" ht="12.75"/>
    <row r="5740" s="23" customFormat="1" ht="12.75"/>
    <row r="5741" s="23" customFormat="1" ht="12.75"/>
    <row r="5742" s="23" customFormat="1" ht="12.75"/>
    <row r="5743" s="23" customFormat="1" ht="12.75"/>
    <row r="5744" s="23" customFormat="1" ht="12.75"/>
    <row r="5745" s="23" customFormat="1" ht="12.75"/>
    <row r="5746" s="23" customFormat="1" ht="12.75"/>
    <row r="5747" s="23" customFormat="1" ht="12.75"/>
    <row r="5748" s="23" customFormat="1" ht="12.75"/>
    <row r="5749" s="23" customFormat="1" ht="12.75"/>
    <row r="5750" s="23" customFormat="1" ht="12.75"/>
    <row r="5751" s="23" customFormat="1" ht="12.75"/>
    <row r="5752" s="23" customFormat="1" ht="12.75"/>
    <row r="5753" s="23" customFormat="1" ht="12.75"/>
    <row r="5754" s="23" customFormat="1" ht="12.75"/>
    <row r="5755" s="23" customFormat="1" ht="12.75"/>
    <row r="5756" s="23" customFormat="1" ht="12.75"/>
    <row r="5757" s="23" customFormat="1" ht="12.75"/>
    <row r="5758" s="23" customFormat="1" ht="12.75"/>
    <row r="5759" s="23" customFormat="1" ht="12.75"/>
    <row r="5760" s="23" customFormat="1" ht="12.75"/>
    <row r="5761" s="23" customFormat="1" ht="12.75"/>
    <row r="5762" s="23" customFormat="1" ht="12.75"/>
    <row r="5763" s="23" customFormat="1" ht="12.75"/>
    <row r="5764" s="23" customFormat="1" ht="12.75"/>
    <row r="5765" s="23" customFormat="1" ht="12.75"/>
    <row r="5766" s="23" customFormat="1" ht="12.75"/>
    <row r="5767" s="23" customFormat="1" ht="12.75"/>
    <row r="5768" s="23" customFormat="1" ht="12.75"/>
    <row r="5769" s="23" customFormat="1" ht="12.75"/>
    <row r="5770" s="23" customFormat="1" ht="12.75"/>
    <row r="5771" s="23" customFormat="1" ht="12.75"/>
    <row r="5772" s="23" customFormat="1" ht="12.75"/>
    <row r="5773" s="23" customFormat="1" ht="12.75"/>
    <row r="5774" s="23" customFormat="1" ht="12.75"/>
    <row r="5775" s="23" customFormat="1" ht="12.75"/>
    <row r="5776" s="23" customFormat="1" ht="12.75"/>
    <row r="5777" s="23" customFormat="1" ht="12.75"/>
    <row r="5778" s="23" customFormat="1" ht="12.75"/>
    <row r="5779" s="23" customFormat="1" ht="12.75"/>
    <row r="5780" s="23" customFormat="1" ht="12.75"/>
    <row r="5781" s="23" customFormat="1" ht="12.75"/>
    <row r="5782" s="23" customFormat="1" ht="12.75"/>
    <row r="5783" s="23" customFormat="1" ht="12.75"/>
    <row r="5784" s="23" customFormat="1" ht="12.75"/>
    <row r="5785" s="23" customFormat="1" ht="12.75"/>
    <row r="5786" s="23" customFormat="1" ht="12.75"/>
    <row r="5787" s="23" customFormat="1" ht="12.75"/>
    <row r="5788" s="23" customFormat="1" ht="12.75"/>
    <row r="5789" s="23" customFormat="1" ht="12.75"/>
    <row r="5790" s="23" customFormat="1" ht="12.75"/>
    <row r="5791" s="23" customFormat="1" ht="12.75"/>
    <row r="5792" s="23" customFormat="1" ht="12.75"/>
    <row r="5793" s="23" customFormat="1" ht="12.75"/>
    <row r="5794" s="23" customFormat="1" ht="12.75"/>
    <row r="5795" s="23" customFormat="1" ht="12.75"/>
    <row r="5796" s="23" customFormat="1" ht="12.75"/>
    <row r="5797" s="23" customFormat="1" ht="12.75"/>
    <row r="5798" s="23" customFormat="1" ht="12.75"/>
    <row r="5799" s="23" customFormat="1" ht="12.75"/>
    <row r="5800" s="23" customFormat="1" ht="12.75"/>
    <row r="5801" s="23" customFormat="1" ht="12.75"/>
    <row r="5802" s="23" customFormat="1" ht="12.75"/>
    <row r="5803" s="23" customFormat="1" ht="12.75"/>
    <row r="5804" s="23" customFormat="1" ht="12.75"/>
    <row r="5805" s="23" customFormat="1" ht="12.75"/>
    <row r="5806" s="23" customFormat="1" ht="12.75"/>
    <row r="5807" s="23" customFormat="1" ht="12.75"/>
    <row r="5808" s="23" customFormat="1" ht="12.75"/>
    <row r="5809" s="23" customFormat="1" ht="12.75"/>
    <row r="5810" s="23" customFormat="1" ht="12.75"/>
    <row r="5811" s="23" customFormat="1" ht="12.75"/>
    <row r="5812" s="23" customFormat="1" ht="12.75"/>
    <row r="5813" s="23" customFormat="1" ht="12.75"/>
    <row r="5814" s="23" customFormat="1" ht="12.75"/>
    <row r="5815" s="23" customFormat="1" ht="12.75"/>
    <row r="5816" s="23" customFormat="1" ht="12.75"/>
    <row r="5817" s="23" customFormat="1" ht="12.75"/>
    <row r="5818" s="23" customFormat="1" ht="12.75"/>
    <row r="5819" s="23" customFormat="1" ht="12.75"/>
    <row r="5820" s="23" customFormat="1" ht="12.75"/>
    <row r="5821" s="23" customFormat="1" ht="12.75"/>
    <row r="5822" s="23" customFormat="1" ht="12.75"/>
    <row r="5823" s="23" customFormat="1" ht="12.75"/>
    <row r="5824" s="23" customFormat="1" ht="12.75"/>
    <row r="5825" s="23" customFormat="1" ht="12.75"/>
    <row r="5826" s="23" customFormat="1" ht="12.75"/>
    <row r="5827" s="23" customFormat="1" ht="12.75"/>
    <row r="5828" s="23" customFormat="1" ht="12.75"/>
    <row r="5829" s="23" customFormat="1" ht="12.75"/>
    <row r="5830" s="23" customFormat="1" ht="12.75"/>
    <row r="5831" s="23" customFormat="1" ht="12.75"/>
    <row r="5832" s="23" customFormat="1" ht="12.75"/>
    <row r="5833" s="23" customFormat="1" ht="12.75"/>
    <row r="5834" s="23" customFormat="1" ht="12.75"/>
    <row r="5835" s="23" customFormat="1" ht="12.75"/>
    <row r="5836" s="23" customFormat="1" ht="12.75"/>
    <row r="5837" s="23" customFormat="1" ht="12.75"/>
    <row r="5838" s="23" customFormat="1" ht="12.75"/>
    <row r="5839" s="23" customFormat="1" ht="12.75"/>
    <row r="5840" s="23" customFormat="1" ht="12.75"/>
    <row r="5841" s="23" customFormat="1" ht="12.75"/>
    <row r="5842" s="23" customFormat="1" ht="12.75"/>
    <row r="5843" s="23" customFormat="1" ht="12.75"/>
    <row r="5844" s="23" customFormat="1" ht="12.75"/>
    <row r="5845" s="23" customFormat="1" ht="12.75"/>
    <row r="5846" s="23" customFormat="1" ht="12.75"/>
    <row r="5847" s="23" customFormat="1" ht="12.75"/>
    <row r="5848" s="23" customFormat="1" ht="12.75"/>
    <row r="5849" s="23" customFormat="1" ht="12.75"/>
    <row r="5850" s="23" customFormat="1" ht="12.75"/>
    <row r="5851" s="23" customFormat="1" ht="12.75"/>
    <row r="5852" s="23" customFormat="1" ht="12.75"/>
    <row r="5853" s="23" customFormat="1" ht="12.75"/>
    <row r="5854" s="23" customFormat="1" ht="12.75"/>
    <row r="5855" s="23" customFormat="1" ht="12.75"/>
    <row r="5856" s="23" customFormat="1" ht="12.75"/>
    <row r="5857" s="23" customFormat="1" ht="12.75"/>
    <row r="5858" s="23" customFormat="1" ht="12.75"/>
    <row r="5859" s="23" customFormat="1" ht="12.75"/>
    <row r="5860" s="23" customFormat="1" ht="12.75"/>
    <row r="5861" s="23" customFormat="1" ht="12.75"/>
    <row r="5862" s="23" customFormat="1" ht="12.75"/>
    <row r="5863" s="23" customFormat="1" ht="12.75"/>
    <row r="5864" s="23" customFormat="1" ht="12.75"/>
    <row r="5865" s="23" customFormat="1" ht="12.75"/>
    <row r="5866" s="23" customFormat="1" ht="12.75"/>
    <row r="5867" s="23" customFormat="1" ht="12.75"/>
    <row r="5868" s="23" customFormat="1" ht="12.75"/>
    <row r="5869" s="23" customFormat="1" ht="12.75"/>
    <row r="5870" s="23" customFormat="1" ht="12.75"/>
    <row r="5871" s="23" customFormat="1" ht="12.75"/>
    <row r="5872" s="23" customFormat="1" ht="12.75"/>
    <row r="5873" s="23" customFormat="1" ht="12.75"/>
    <row r="5874" s="23" customFormat="1" ht="12.75"/>
    <row r="5875" s="23" customFormat="1" ht="12.75"/>
    <row r="5876" s="23" customFormat="1" ht="12.75"/>
    <row r="5877" s="23" customFormat="1" ht="12.75"/>
    <row r="5878" s="23" customFormat="1" ht="12.75"/>
    <row r="5879" s="23" customFormat="1" ht="12.75"/>
    <row r="5880" s="23" customFormat="1" ht="12.75"/>
    <row r="5881" s="23" customFormat="1" ht="12.75"/>
    <row r="5882" s="23" customFormat="1" ht="12.75"/>
    <row r="5883" s="23" customFormat="1" ht="12.75"/>
    <row r="5884" s="23" customFormat="1" ht="12.75"/>
    <row r="5885" s="23" customFormat="1" ht="12.75"/>
    <row r="5886" s="23" customFormat="1" ht="12.75"/>
    <row r="5887" s="23" customFormat="1" ht="12.75"/>
    <row r="5888" s="23" customFormat="1" ht="12.75"/>
    <row r="5889" s="23" customFormat="1" ht="12.75"/>
    <row r="5890" s="23" customFormat="1" ht="12.75"/>
    <row r="5891" s="23" customFormat="1" ht="12.75"/>
    <row r="5892" s="23" customFormat="1" ht="12.75"/>
    <row r="5893" s="23" customFormat="1" ht="12.75"/>
    <row r="5894" s="23" customFormat="1" ht="12.75"/>
    <row r="5895" s="23" customFormat="1" ht="12.75"/>
    <row r="5896" s="23" customFormat="1" ht="12.75"/>
    <row r="5897" s="23" customFormat="1" ht="12.75"/>
    <row r="5898" s="23" customFormat="1" ht="12.75"/>
    <row r="5899" s="23" customFormat="1" ht="12.75"/>
    <row r="5900" s="23" customFormat="1" ht="12.75"/>
    <row r="5901" s="23" customFormat="1" ht="12.75"/>
    <row r="5902" s="23" customFormat="1" ht="12.75"/>
    <row r="5903" s="23" customFormat="1" ht="12.75"/>
    <row r="5904" s="23" customFormat="1" ht="12.75"/>
    <row r="5905" s="23" customFormat="1" ht="12.75"/>
    <row r="5906" s="23" customFormat="1" ht="12.75"/>
    <row r="5907" s="23" customFormat="1" ht="12.75"/>
    <row r="5908" s="23" customFormat="1" ht="12.75"/>
    <row r="5909" s="23" customFormat="1" ht="12.75"/>
    <row r="5910" s="23" customFormat="1" ht="12.75"/>
    <row r="5911" s="23" customFormat="1" ht="12.75"/>
    <row r="5912" s="23" customFormat="1" ht="12.75"/>
    <row r="5913" s="23" customFormat="1" ht="12.75"/>
    <row r="5914" s="23" customFormat="1" ht="12.75"/>
    <row r="5915" s="23" customFormat="1" ht="12.75"/>
    <row r="5916" s="23" customFormat="1" ht="12.75"/>
    <row r="5917" s="23" customFormat="1" ht="12.75"/>
    <row r="5918" s="23" customFormat="1" ht="12.75"/>
    <row r="5919" s="23" customFormat="1" ht="12.75"/>
    <row r="5920" s="23" customFormat="1" ht="12.75"/>
    <row r="5921" s="23" customFormat="1" ht="12.75"/>
    <row r="5922" s="23" customFormat="1" ht="12.75"/>
    <row r="5923" s="23" customFormat="1" ht="12.75"/>
    <row r="5924" s="23" customFormat="1" ht="12.75"/>
    <row r="5925" s="23" customFormat="1" ht="12.75"/>
    <row r="5926" s="23" customFormat="1" ht="12.75"/>
    <row r="5927" s="23" customFormat="1" ht="12.75"/>
    <row r="5928" s="23" customFormat="1" ht="12.75"/>
    <row r="5929" s="23" customFormat="1" ht="12.75"/>
    <row r="5930" s="23" customFormat="1" ht="12.75"/>
    <row r="5931" s="23" customFormat="1" ht="12.75"/>
    <row r="5932" s="23" customFormat="1" ht="12.75"/>
    <row r="5933" s="23" customFormat="1" ht="12.75"/>
    <row r="5934" s="23" customFormat="1" ht="12.75"/>
    <row r="5935" s="23" customFormat="1" ht="12.75"/>
    <row r="5936" s="23" customFormat="1" ht="12.75"/>
    <row r="5937" s="23" customFormat="1" ht="12.75"/>
    <row r="5938" s="23" customFormat="1" ht="12.75"/>
    <row r="5939" s="23" customFormat="1" ht="12.75"/>
    <row r="5940" s="23" customFormat="1" ht="12.75"/>
    <row r="5941" s="23" customFormat="1" ht="12.75"/>
    <row r="5942" s="23" customFormat="1" ht="12.75"/>
    <row r="5943" s="23" customFormat="1" ht="12.75"/>
    <row r="5944" s="23" customFormat="1" ht="12.75"/>
    <row r="5945" s="23" customFormat="1" ht="12.75"/>
    <row r="5946" s="23" customFormat="1" ht="12.75"/>
    <row r="5947" s="23" customFormat="1" ht="12.75"/>
    <row r="5948" s="23" customFormat="1" ht="12.75"/>
    <row r="5949" s="23" customFormat="1" ht="12.75"/>
    <row r="5950" s="23" customFormat="1" ht="12.75"/>
    <row r="5951" s="23" customFormat="1" ht="12.75"/>
    <row r="5952" s="23" customFormat="1" ht="12.75"/>
    <row r="5953" s="23" customFormat="1" ht="12.75"/>
    <row r="5954" s="23" customFormat="1" ht="12.75"/>
    <row r="5955" s="23" customFormat="1" ht="12.75"/>
    <row r="5956" s="23" customFormat="1" ht="12.75"/>
    <row r="5957" s="23" customFormat="1" ht="12.75"/>
    <row r="5958" s="23" customFormat="1" ht="12.75"/>
    <row r="5959" s="23" customFormat="1" ht="12.75"/>
    <row r="5960" s="23" customFormat="1" ht="12.75"/>
    <row r="5961" s="23" customFormat="1" ht="12.75"/>
    <row r="5962" s="23" customFormat="1" ht="12.75"/>
    <row r="5963" s="23" customFormat="1" ht="12.75"/>
    <row r="5964" s="23" customFormat="1" ht="12.75"/>
    <row r="5965" s="23" customFormat="1" ht="12.75"/>
    <row r="5966" s="23" customFormat="1" ht="12.75"/>
    <row r="5967" s="23" customFormat="1" ht="12.75"/>
    <row r="5968" s="23" customFormat="1" ht="12.75"/>
    <row r="5969" s="23" customFormat="1" ht="12.75"/>
    <row r="5970" s="23" customFormat="1" ht="12.75"/>
    <row r="5971" s="23" customFormat="1" ht="12.75"/>
    <row r="5972" s="23" customFormat="1" ht="12.75"/>
    <row r="5973" s="23" customFormat="1" ht="12.75"/>
    <row r="5974" s="23" customFormat="1" ht="12.75"/>
    <row r="5975" s="23" customFormat="1" ht="12.75"/>
    <row r="5976" s="23" customFormat="1" ht="12.75"/>
    <row r="5977" s="23" customFormat="1" ht="12.75"/>
    <row r="5978" s="23" customFormat="1" ht="12.75"/>
    <row r="5979" s="23" customFormat="1" ht="12.75"/>
    <row r="5980" s="23" customFormat="1" ht="12.75"/>
    <row r="5981" s="23" customFormat="1" ht="12.75"/>
    <row r="5982" s="23" customFormat="1" ht="12.75"/>
    <row r="5983" s="23" customFormat="1" ht="12.75"/>
    <row r="5984" s="23" customFormat="1" ht="12.75"/>
    <row r="5985" s="23" customFormat="1" ht="12.75"/>
    <row r="5986" s="23" customFormat="1" ht="12.75"/>
    <row r="5987" s="23" customFormat="1" ht="12.75"/>
    <row r="5988" s="23" customFormat="1" ht="12.75"/>
    <row r="5989" s="23" customFormat="1" ht="12.75"/>
    <row r="5990" s="23" customFormat="1" ht="12.75"/>
    <row r="5991" s="23" customFormat="1" ht="12.75"/>
    <row r="5992" s="23" customFormat="1" ht="12.75"/>
    <row r="5993" s="23" customFormat="1" ht="12.75"/>
    <row r="5994" s="23" customFormat="1" ht="12.75"/>
    <row r="5995" s="23" customFormat="1" ht="12.75"/>
    <row r="5996" s="23" customFormat="1" ht="12.75"/>
    <row r="5997" s="23" customFormat="1" ht="12.75"/>
    <row r="5998" s="23" customFormat="1" ht="12.75"/>
    <row r="5999" s="23" customFormat="1" ht="12.75"/>
    <row r="6000" s="23" customFormat="1" ht="12.75"/>
    <row r="6001" s="23" customFormat="1" ht="12.75"/>
    <row r="6002" s="23" customFormat="1" ht="12.75"/>
    <row r="6003" s="23" customFormat="1" ht="12.75"/>
    <row r="6004" s="23" customFormat="1" ht="12.75"/>
    <row r="6005" s="23" customFormat="1" ht="12.75"/>
    <row r="6006" s="23" customFormat="1" ht="12.75"/>
    <row r="6007" s="23" customFormat="1" ht="12.75"/>
    <row r="6008" s="23" customFormat="1" ht="12.75"/>
    <row r="6009" s="23" customFormat="1" ht="12.75"/>
    <row r="6010" s="23" customFormat="1" ht="12.75"/>
    <row r="6011" s="23" customFormat="1" ht="12.75"/>
    <row r="6012" s="23" customFormat="1" ht="12.75"/>
    <row r="6013" s="23" customFormat="1" ht="12.75"/>
    <row r="6014" s="23" customFormat="1" ht="12.75"/>
    <row r="6015" s="23" customFormat="1" ht="12.75"/>
    <row r="6016" s="23" customFormat="1" ht="12.75"/>
    <row r="6017" s="23" customFormat="1" ht="12.75"/>
    <row r="6018" s="23" customFormat="1" ht="12.75"/>
    <row r="6019" s="23" customFormat="1" ht="12.75"/>
    <row r="6020" s="23" customFormat="1" ht="12.75"/>
    <row r="6021" s="23" customFormat="1" ht="12.75"/>
    <row r="6022" s="23" customFormat="1" ht="12.75"/>
    <row r="6023" s="23" customFormat="1" ht="12.75"/>
    <row r="6024" s="23" customFormat="1" ht="12.75"/>
    <row r="6025" s="23" customFormat="1" ht="12.75"/>
    <row r="6026" s="23" customFormat="1" ht="12.75"/>
    <row r="6027" s="23" customFormat="1" ht="12.75"/>
    <row r="6028" s="23" customFormat="1" ht="12.75"/>
    <row r="6029" s="23" customFormat="1" ht="12.75"/>
    <row r="6030" s="23" customFormat="1" ht="12.75"/>
    <row r="6031" s="23" customFormat="1" ht="12.75"/>
    <row r="6032" s="23" customFormat="1" ht="12.75"/>
    <row r="6033" s="23" customFormat="1" ht="12.75"/>
    <row r="6034" s="23" customFormat="1" ht="12.75"/>
    <row r="6035" s="23" customFormat="1" ht="12.75"/>
    <row r="6036" s="23" customFormat="1" ht="12.75"/>
    <row r="6037" s="23" customFormat="1" ht="12.75"/>
    <row r="6038" s="23" customFormat="1" ht="12.75"/>
    <row r="6039" s="23" customFormat="1" ht="12.75"/>
    <row r="6040" s="23" customFormat="1" ht="12.75"/>
    <row r="6041" s="23" customFormat="1" ht="12.75"/>
    <row r="6042" s="23" customFormat="1" ht="12.75"/>
    <row r="6043" s="23" customFormat="1" ht="12.75"/>
    <row r="6044" s="23" customFormat="1" ht="12.75"/>
    <row r="6045" s="23" customFormat="1" ht="12.75"/>
    <row r="6046" s="23" customFormat="1" ht="12.75"/>
    <row r="6047" s="23" customFormat="1" ht="12.75"/>
    <row r="6048" s="23" customFormat="1" ht="12.75"/>
    <row r="6049" s="23" customFormat="1" ht="12.75"/>
    <row r="6050" s="23" customFormat="1" ht="12.75"/>
    <row r="6051" s="23" customFormat="1" ht="12.75"/>
    <row r="6052" s="23" customFormat="1" ht="12.75"/>
    <row r="6053" s="23" customFormat="1" ht="12.75"/>
    <row r="6054" s="23" customFormat="1" ht="12.75"/>
    <row r="6055" s="23" customFormat="1" ht="12.75"/>
    <row r="6056" s="23" customFormat="1" ht="12.75"/>
    <row r="6057" s="23" customFormat="1" ht="12.75"/>
    <row r="6058" s="23" customFormat="1" ht="12.75"/>
    <row r="6059" s="23" customFormat="1" ht="12.75"/>
    <row r="6060" s="23" customFormat="1" ht="12.75"/>
    <row r="6061" s="23" customFormat="1" ht="12.75"/>
    <row r="6062" s="23" customFormat="1" ht="12.75"/>
    <row r="6063" s="23" customFormat="1" ht="12.75"/>
    <row r="6064" s="23" customFormat="1" ht="12.75"/>
    <row r="6065" s="23" customFormat="1" ht="12.75"/>
    <row r="6066" s="23" customFormat="1" ht="12.75"/>
    <row r="6067" s="23" customFormat="1" ht="12.75"/>
    <row r="6068" s="23" customFormat="1" ht="12.75"/>
    <row r="6069" s="23" customFormat="1" ht="12.75"/>
    <row r="6070" s="23" customFormat="1" ht="12.75"/>
    <row r="6071" s="23" customFormat="1" ht="12.75"/>
    <row r="6072" s="23" customFormat="1" ht="12.75"/>
    <row r="6073" s="23" customFormat="1" ht="12.75"/>
    <row r="6074" s="23" customFormat="1" ht="12.75"/>
    <row r="6075" s="23" customFormat="1" ht="12.75"/>
    <row r="6076" s="23" customFormat="1" ht="12.75"/>
    <row r="6077" s="23" customFormat="1" ht="12.75"/>
    <row r="6078" s="23" customFormat="1" ht="12.75"/>
    <row r="6079" s="23" customFormat="1" ht="12.75"/>
    <row r="6080" s="23" customFormat="1" ht="12.75"/>
    <row r="6081" s="23" customFormat="1" ht="12.75"/>
    <row r="6082" s="23" customFormat="1" ht="12.75"/>
    <row r="6083" s="23" customFormat="1" ht="12.75"/>
    <row r="6084" s="23" customFormat="1" ht="12.75"/>
    <row r="6085" s="23" customFormat="1" ht="12.75"/>
    <row r="6086" s="23" customFormat="1" ht="12.75"/>
    <row r="6087" s="23" customFormat="1" ht="12.75"/>
    <row r="6088" s="23" customFormat="1" ht="12.75"/>
    <row r="6089" s="23" customFormat="1" ht="12.75"/>
    <row r="6090" s="23" customFormat="1" ht="12.75"/>
    <row r="6091" s="23" customFormat="1" ht="12.75"/>
    <row r="6092" s="23" customFormat="1" ht="12.75"/>
    <row r="6093" s="23" customFormat="1" ht="12.75"/>
    <row r="6094" s="23" customFormat="1" ht="12.75"/>
    <row r="6095" s="23" customFormat="1" ht="12.75"/>
    <row r="6096" s="23" customFormat="1" ht="12.75"/>
    <row r="6097" s="23" customFormat="1" ht="12.75"/>
    <row r="6098" s="23" customFormat="1" ht="12.75"/>
    <row r="6099" s="23" customFormat="1" ht="12.75"/>
    <row r="6100" s="23" customFormat="1" ht="12.75"/>
    <row r="6101" s="23" customFormat="1" ht="12.75"/>
    <row r="6102" s="23" customFormat="1" ht="12.75"/>
    <row r="6103" s="23" customFormat="1" ht="12.75"/>
    <row r="6104" s="23" customFormat="1" ht="12.75"/>
    <row r="6105" s="23" customFormat="1" ht="12.75"/>
    <row r="6106" s="23" customFormat="1" ht="12.75"/>
    <row r="6107" s="23" customFormat="1" ht="12.75"/>
    <row r="6108" s="23" customFormat="1" ht="12.75"/>
    <row r="6109" s="23" customFormat="1" ht="12.75"/>
    <row r="6110" s="23" customFormat="1" ht="12.75"/>
    <row r="6111" s="23" customFormat="1" ht="12.75"/>
    <row r="6112" s="23" customFormat="1" ht="12.75"/>
    <row r="6113" s="23" customFormat="1" ht="12.75"/>
    <row r="6114" s="23" customFormat="1" ht="12.75"/>
    <row r="6115" s="23" customFormat="1" ht="12.75"/>
    <row r="6116" s="23" customFormat="1" ht="12.75"/>
    <row r="6117" s="23" customFormat="1" ht="12.75"/>
    <row r="6118" s="23" customFormat="1" ht="12.75"/>
    <row r="6119" s="23" customFormat="1" ht="12.75"/>
    <row r="6120" s="23" customFormat="1" ht="12.75"/>
    <row r="6121" s="23" customFormat="1" ht="12.75"/>
    <row r="6122" s="23" customFormat="1" ht="12.75"/>
    <row r="6123" s="23" customFormat="1" ht="12.75"/>
    <row r="6124" s="23" customFormat="1" ht="12.75"/>
    <row r="6125" s="23" customFormat="1" ht="12.75"/>
    <row r="6126" s="23" customFormat="1" ht="12.75"/>
    <row r="6127" s="23" customFormat="1" ht="12.75"/>
    <row r="6128" s="23" customFormat="1" ht="12.75"/>
    <row r="6129" s="23" customFormat="1" ht="12.75"/>
    <row r="6130" s="23" customFormat="1" ht="12.75"/>
    <row r="6131" s="23" customFormat="1" ht="12.75"/>
    <row r="6132" s="23" customFormat="1" ht="12.75"/>
    <row r="6133" s="23" customFormat="1" ht="12.75"/>
    <row r="6134" s="23" customFormat="1" ht="12.75"/>
    <row r="6135" s="23" customFormat="1" ht="12.75"/>
    <row r="6136" s="23" customFormat="1" ht="12.75"/>
    <row r="6137" s="23" customFormat="1" ht="12.75"/>
    <row r="6138" s="23" customFormat="1" ht="12.75"/>
    <row r="6139" s="23" customFormat="1" ht="12.75"/>
    <row r="6140" s="23" customFormat="1" ht="12.75"/>
    <row r="6141" s="23" customFormat="1" ht="12.75"/>
    <row r="6142" s="23" customFormat="1" ht="12.75"/>
    <row r="6143" s="23" customFormat="1" ht="12.75"/>
    <row r="6144" s="23" customFormat="1" ht="12.75"/>
    <row r="6145" s="23" customFormat="1" ht="12.75"/>
    <row r="6146" s="23" customFormat="1" ht="12.75"/>
    <row r="6147" s="23" customFormat="1" ht="12.75"/>
    <row r="6148" s="23" customFormat="1" ht="12.75"/>
    <row r="6149" s="23" customFormat="1" ht="12.75"/>
    <row r="6150" s="23" customFormat="1" ht="12.75"/>
    <row r="6151" s="23" customFormat="1" ht="12.75"/>
    <row r="6152" s="23" customFormat="1" ht="12.75"/>
    <row r="6153" s="23" customFormat="1" ht="12.75"/>
    <row r="6154" s="23" customFormat="1" ht="12.75"/>
    <row r="6155" s="23" customFormat="1" ht="12.75"/>
    <row r="6156" s="23" customFormat="1" ht="12.75"/>
    <row r="6157" s="23" customFormat="1" ht="12.75"/>
    <row r="6158" s="23" customFormat="1" ht="12.75"/>
    <row r="6159" s="23" customFormat="1" ht="12.75"/>
    <row r="6160" s="23" customFormat="1" ht="12.75"/>
    <row r="6161" s="23" customFormat="1" ht="12.75"/>
    <row r="6162" s="23" customFormat="1" ht="12.75"/>
    <row r="6163" s="23" customFormat="1" ht="12.75"/>
    <row r="6164" s="23" customFormat="1" ht="12.75"/>
    <row r="6165" s="23" customFormat="1" ht="12.75"/>
    <row r="6166" s="23" customFormat="1" ht="12.75"/>
    <row r="6167" s="23" customFormat="1" ht="12.75"/>
    <row r="6168" s="23" customFormat="1" ht="12.75"/>
    <row r="6169" s="23" customFormat="1" ht="12.75"/>
    <row r="6170" s="23" customFormat="1" ht="12.75"/>
    <row r="6171" s="23" customFormat="1" ht="12.75"/>
    <row r="6172" s="23" customFormat="1" ht="12.75"/>
    <row r="6173" s="23" customFormat="1" ht="12.75"/>
    <row r="6174" s="23" customFormat="1" ht="12.75"/>
    <row r="6175" s="23" customFormat="1" ht="12.75"/>
    <row r="6176" s="23" customFormat="1" ht="12.75"/>
    <row r="6177" s="23" customFormat="1" ht="12.75"/>
    <row r="6178" s="23" customFormat="1" ht="12.75"/>
    <row r="6179" s="23" customFormat="1" ht="12.75"/>
    <row r="6180" s="23" customFormat="1" ht="12.75"/>
    <row r="6181" s="23" customFormat="1" ht="12.75"/>
    <row r="6182" s="23" customFormat="1" ht="12.75"/>
    <row r="6183" s="23" customFormat="1" ht="12.75"/>
    <row r="6184" s="23" customFormat="1" ht="12.75"/>
    <row r="6185" s="23" customFormat="1" ht="12.75"/>
    <row r="6186" s="23" customFormat="1" ht="12.75"/>
    <row r="6187" s="23" customFormat="1" ht="12.75"/>
    <row r="6188" s="23" customFormat="1" ht="12.75"/>
    <row r="6189" s="23" customFormat="1" ht="12.75"/>
    <row r="6190" s="23" customFormat="1" ht="12.75"/>
    <row r="6191" s="23" customFormat="1" ht="12.75"/>
    <row r="6192" s="23" customFormat="1" ht="12.75"/>
    <row r="6193" s="23" customFormat="1" ht="12.75"/>
    <row r="6194" s="23" customFormat="1" ht="12.75"/>
    <row r="6195" s="23" customFormat="1" ht="12.75"/>
    <row r="6196" s="23" customFormat="1" ht="12.75"/>
    <row r="6197" s="23" customFormat="1" ht="12.75"/>
    <row r="6198" s="23" customFormat="1" ht="12.75"/>
    <row r="6199" s="23" customFormat="1" ht="12.75"/>
    <row r="6200" s="23" customFormat="1" ht="12.75"/>
    <row r="6201" s="23" customFormat="1" ht="12.75"/>
    <row r="6202" s="23" customFormat="1" ht="12.75"/>
    <row r="6203" s="23" customFormat="1" ht="12.75"/>
    <row r="6204" s="23" customFormat="1" ht="12.75"/>
    <row r="6205" s="23" customFormat="1" ht="12.75"/>
    <row r="6206" s="23" customFormat="1" ht="12.75"/>
    <row r="6207" s="23" customFormat="1" ht="12.75"/>
    <row r="6208" s="23" customFormat="1" ht="12.75"/>
    <row r="6209" s="23" customFormat="1" ht="12.75"/>
    <row r="6210" s="23" customFormat="1" ht="12.75"/>
    <row r="6211" s="23" customFormat="1" ht="12.75"/>
    <row r="6212" s="23" customFormat="1" ht="12.75"/>
    <row r="6213" s="23" customFormat="1" ht="12.75"/>
    <row r="6214" s="23" customFormat="1" ht="12.75"/>
    <row r="6215" s="23" customFormat="1" ht="12.75"/>
    <row r="6216" s="23" customFormat="1" ht="12.75"/>
    <row r="6217" s="23" customFormat="1" ht="12.75"/>
    <row r="6218" s="23" customFormat="1" ht="12.75"/>
    <row r="6219" s="23" customFormat="1" ht="12.75"/>
    <row r="6220" s="23" customFormat="1" ht="12.75"/>
    <row r="6221" s="23" customFormat="1" ht="12.75"/>
    <row r="6222" s="23" customFormat="1" ht="12.75"/>
    <row r="6223" s="23" customFormat="1" ht="12.75"/>
    <row r="6224" s="23" customFormat="1" ht="12.75"/>
    <row r="6225" s="23" customFormat="1" ht="12.75"/>
    <row r="6226" s="23" customFormat="1" ht="12.75"/>
    <row r="6227" s="23" customFormat="1" ht="12.75"/>
    <row r="6228" s="23" customFormat="1" ht="12.75"/>
    <row r="6229" s="23" customFormat="1" ht="12.75"/>
    <row r="6230" s="23" customFormat="1" ht="12.75"/>
    <row r="6231" s="23" customFormat="1" ht="12.75"/>
    <row r="6232" s="23" customFormat="1" ht="12.75"/>
    <row r="6233" s="23" customFormat="1" ht="12.75"/>
    <row r="6234" s="23" customFormat="1" ht="12.75"/>
    <row r="6235" s="23" customFormat="1" ht="12.75"/>
    <row r="6236" s="23" customFormat="1" ht="12.75"/>
    <row r="6237" s="23" customFormat="1" ht="12.75"/>
    <row r="6238" s="23" customFormat="1" ht="12.75"/>
    <row r="6239" s="23" customFormat="1" ht="12.75"/>
    <row r="6240" s="23" customFormat="1" ht="12.75"/>
    <row r="6241" s="23" customFormat="1" ht="12.75"/>
    <row r="6242" s="23" customFormat="1" ht="12.75"/>
    <row r="6243" s="23" customFormat="1" ht="12.75"/>
    <row r="6244" s="23" customFormat="1" ht="12.75"/>
    <row r="6245" s="23" customFormat="1" ht="12.75"/>
    <row r="6246" s="23" customFormat="1" ht="12.75"/>
    <row r="6247" s="23" customFormat="1" ht="12.75"/>
    <row r="6248" s="23" customFormat="1" ht="12.75"/>
    <row r="6249" s="23" customFormat="1" ht="12.75"/>
    <row r="6250" s="23" customFormat="1" ht="12.75"/>
    <row r="6251" s="23" customFormat="1" ht="12.75"/>
    <row r="6252" s="23" customFormat="1" ht="12.75"/>
    <row r="6253" s="23" customFormat="1" ht="12.75"/>
    <row r="6254" s="23" customFormat="1" ht="12.75"/>
    <row r="6255" s="23" customFormat="1" ht="12.75"/>
    <row r="6256" s="23" customFormat="1" ht="12.75"/>
    <row r="6257" s="23" customFormat="1" ht="12.75"/>
    <row r="6258" s="23" customFormat="1" ht="12.75"/>
    <row r="6259" s="23" customFormat="1" ht="12.75"/>
    <row r="6260" s="23" customFormat="1" ht="12.75"/>
    <row r="6261" s="23" customFormat="1" ht="12.75"/>
    <row r="6262" s="23" customFormat="1" ht="12.75"/>
    <row r="6263" s="23" customFormat="1" ht="12.75"/>
    <row r="6264" s="23" customFormat="1" ht="12.75"/>
    <row r="6265" s="23" customFormat="1" ht="12.75"/>
    <row r="6266" s="23" customFormat="1" ht="12.75"/>
    <row r="6267" s="23" customFormat="1" ht="12.75"/>
    <row r="6268" s="23" customFormat="1" ht="12.75"/>
    <row r="6269" s="23" customFormat="1" ht="12.75"/>
    <row r="6270" s="23" customFormat="1" ht="12.75"/>
    <row r="6271" s="23" customFormat="1" ht="12.75"/>
    <row r="6272" s="23" customFormat="1" ht="12.75"/>
    <row r="6273" s="23" customFormat="1" ht="12.75"/>
    <row r="6274" s="23" customFormat="1" ht="12.75"/>
    <row r="6275" s="23" customFormat="1" ht="12.75"/>
    <row r="6276" s="23" customFormat="1" ht="12.75"/>
    <row r="6277" s="23" customFormat="1" ht="12.75"/>
    <row r="6278" s="23" customFormat="1" ht="12.75"/>
    <row r="6279" s="23" customFormat="1" ht="12.75"/>
    <row r="6280" s="23" customFormat="1" ht="12.75"/>
    <row r="6281" s="23" customFormat="1" ht="12.75"/>
    <row r="6282" s="23" customFormat="1" ht="12.75"/>
    <row r="6283" s="23" customFormat="1" ht="12.75"/>
    <row r="6284" s="23" customFormat="1" ht="12.75"/>
    <row r="6285" s="23" customFormat="1" ht="12.75"/>
    <row r="6286" s="23" customFormat="1" ht="12.75"/>
    <row r="6287" s="23" customFormat="1" ht="12.75"/>
    <row r="6288" s="23" customFormat="1" ht="12.75"/>
    <row r="6289" s="23" customFormat="1" ht="12.75"/>
    <row r="6290" s="23" customFormat="1" ht="12.75"/>
    <row r="6291" s="23" customFormat="1" ht="12.75"/>
    <row r="6292" s="23" customFormat="1" ht="12.75"/>
    <row r="6293" s="23" customFormat="1" ht="12.75"/>
    <row r="6294" s="23" customFormat="1" ht="12.75"/>
    <row r="6295" s="23" customFormat="1" ht="12.75"/>
    <row r="6296" s="23" customFormat="1" ht="12.75"/>
    <row r="6297" s="23" customFormat="1" ht="12.75"/>
    <row r="6298" s="23" customFormat="1" ht="12.75"/>
    <row r="6299" s="23" customFormat="1" ht="12.75"/>
    <row r="6300" s="23" customFormat="1" ht="12.75"/>
    <row r="6301" s="23" customFormat="1" ht="12.75"/>
    <row r="6302" s="23" customFormat="1" ht="12.75"/>
    <row r="6303" s="23" customFormat="1" ht="12.75"/>
    <row r="6304" s="23" customFormat="1" ht="12.75"/>
    <row r="6305" s="23" customFormat="1" ht="12.75"/>
    <row r="6306" s="23" customFormat="1" ht="12.75"/>
    <row r="6307" s="23" customFormat="1" ht="12.75"/>
    <row r="6308" s="23" customFormat="1" ht="12.75"/>
    <row r="6309" s="23" customFormat="1" ht="12.75"/>
    <row r="6310" s="23" customFormat="1" ht="12.75"/>
    <row r="6311" s="23" customFormat="1" ht="12.75"/>
    <row r="6312" s="23" customFormat="1" ht="12.75"/>
    <row r="6313" s="23" customFormat="1" ht="12.75"/>
    <row r="6314" s="23" customFormat="1" ht="12.75"/>
    <row r="6315" s="23" customFormat="1" ht="12.75"/>
    <row r="6316" s="23" customFormat="1" ht="12.75"/>
    <row r="6317" s="23" customFormat="1" ht="12.75"/>
    <row r="6318" s="23" customFormat="1" ht="12.75"/>
    <row r="6319" s="23" customFormat="1" ht="12.75"/>
    <row r="6320" s="23" customFormat="1" ht="12.75"/>
    <row r="6321" s="23" customFormat="1" ht="12.75"/>
    <row r="6322" s="23" customFormat="1" ht="12.75"/>
    <row r="6323" s="23" customFormat="1" ht="12.75"/>
    <row r="6324" s="23" customFormat="1" ht="12.75"/>
    <row r="6325" s="23" customFormat="1" ht="12.75"/>
    <row r="6326" s="23" customFormat="1" ht="12.75"/>
    <row r="6327" s="23" customFormat="1" ht="12.75"/>
    <row r="6328" s="23" customFormat="1" ht="12.75"/>
    <row r="6329" s="23" customFormat="1" ht="12.75"/>
    <row r="6330" s="23" customFormat="1" ht="12.75"/>
    <row r="6331" s="23" customFormat="1" ht="12.75"/>
    <row r="6332" s="23" customFormat="1" ht="12.75"/>
    <row r="6333" s="23" customFormat="1" ht="12.75"/>
    <row r="6334" s="23" customFormat="1" ht="12.75"/>
    <row r="6335" s="23" customFormat="1" ht="12.75"/>
    <row r="6336" s="23" customFormat="1" ht="12.75"/>
    <row r="6337" s="23" customFormat="1" ht="12.75"/>
    <row r="6338" s="23" customFormat="1" ht="12.75"/>
    <row r="6339" s="23" customFormat="1" ht="12.75"/>
    <row r="6340" s="23" customFormat="1" ht="12.75"/>
    <row r="6341" s="23" customFormat="1" ht="12.75"/>
    <row r="6342" s="23" customFormat="1" ht="12.75"/>
    <row r="6343" s="23" customFormat="1" ht="12.75"/>
    <row r="6344" s="23" customFormat="1" ht="12.75"/>
    <row r="6345" s="23" customFormat="1" ht="12.75"/>
    <row r="6346" s="23" customFormat="1" ht="12.75"/>
    <row r="6347" s="23" customFormat="1" ht="12.75"/>
    <row r="6348" s="23" customFormat="1" ht="12.75"/>
    <row r="6349" s="23" customFormat="1" ht="12.75"/>
    <row r="6350" s="23" customFormat="1" ht="12.75"/>
    <row r="6351" s="23" customFormat="1" ht="12.75"/>
    <row r="6352" s="23" customFormat="1" ht="12.75"/>
    <row r="6353" s="23" customFormat="1" ht="12.75"/>
    <row r="6354" s="23" customFormat="1" ht="12.75"/>
    <row r="6355" s="23" customFormat="1" ht="12.75"/>
    <row r="6356" s="23" customFormat="1" ht="12.75"/>
    <row r="6357" s="23" customFormat="1" ht="12.75"/>
    <row r="6358" s="23" customFormat="1" ht="12.75"/>
    <row r="6359" s="23" customFormat="1" ht="12.75"/>
    <row r="6360" s="23" customFormat="1" ht="12.75"/>
    <row r="6361" s="23" customFormat="1" ht="12.75"/>
    <row r="6362" s="23" customFormat="1" ht="12.75"/>
    <row r="6363" s="23" customFormat="1" ht="12.75"/>
    <row r="6364" s="23" customFormat="1" ht="12.75"/>
    <row r="6365" s="23" customFormat="1" ht="12.75"/>
    <row r="6366" s="23" customFormat="1" ht="12.75"/>
    <row r="6367" s="23" customFormat="1" ht="12.75"/>
    <row r="6368" s="23" customFormat="1" ht="12.75"/>
    <row r="6369" s="23" customFormat="1" ht="12.75"/>
    <row r="6370" s="23" customFormat="1" ht="12.75"/>
    <row r="6371" s="23" customFormat="1" ht="12.75"/>
    <row r="6372" s="23" customFormat="1" ht="12.75"/>
    <row r="6373" s="23" customFormat="1" ht="12.75"/>
    <row r="6374" s="23" customFormat="1" ht="12.75"/>
    <row r="6375" s="23" customFormat="1" ht="12.75"/>
    <row r="6376" s="23" customFormat="1" ht="12.75"/>
    <row r="6377" s="23" customFormat="1" ht="12.75"/>
    <row r="6378" s="23" customFormat="1" ht="12.75"/>
    <row r="6379" s="23" customFormat="1" ht="12.75"/>
    <row r="6380" s="23" customFormat="1" ht="12.75"/>
    <row r="6381" s="23" customFormat="1" ht="12.75"/>
    <row r="6382" s="23" customFormat="1" ht="12.75"/>
    <row r="6383" s="23" customFormat="1" ht="12.75"/>
    <row r="6384" s="23" customFormat="1" ht="12.75"/>
    <row r="6385" s="23" customFormat="1" ht="12.75"/>
    <row r="6386" s="23" customFormat="1" ht="12.75"/>
    <row r="6387" s="23" customFormat="1" ht="12.75"/>
    <row r="6388" s="23" customFormat="1" ht="12.75"/>
    <row r="6389" s="23" customFormat="1" ht="12.75"/>
    <row r="6390" s="23" customFormat="1" ht="12.75"/>
    <row r="6391" s="23" customFormat="1" ht="12.75"/>
    <row r="6392" s="23" customFormat="1" ht="12.75"/>
    <row r="6393" s="23" customFormat="1" ht="12.75"/>
    <row r="6394" s="23" customFormat="1" ht="12.75"/>
    <row r="6395" s="23" customFormat="1" ht="12.75"/>
    <row r="6396" s="23" customFormat="1" ht="12.75"/>
    <row r="6397" s="23" customFormat="1" ht="12.75"/>
    <row r="6398" s="23" customFormat="1" ht="12.75"/>
    <row r="6399" s="23" customFormat="1" ht="12.75"/>
    <row r="6400" s="23" customFormat="1" ht="12.75"/>
    <row r="6401" s="23" customFormat="1" ht="12.75"/>
    <row r="6402" s="23" customFormat="1" ht="12.75"/>
    <row r="6403" s="23" customFormat="1" ht="12.75"/>
    <row r="6404" s="23" customFormat="1" ht="12.75"/>
    <row r="6405" s="23" customFormat="1" ht="12.75"/>
    <row r="6406" s="23" customFormat="1" ht="12.75"/>
    <row r="6407" s="23" customFormat="1" ht="12.75"/>
    <row r="6408" s="23" customFormat="1" ht="12.75"/>
    <row r="6409" s="23" customFormat="1" ht="12.75"/>
    <row r="6410" s="23" customFormat="1" ht="12.75"/>
    <row r="6411" s="23" customFormat="1" ht="12.75"/>
    <row r="6412" s="23" customFormat="1" ht="12.75"/>
    <row r="6413" s="23" customFormat="1" ht="12.75"/>
    <row r="6414" s="23" customFormat="1" ht="12.75"/>
    <row r="6415" s="23" customFormat="1" ht="12.75"/>
    <row r="6416" s="23" customFormat="1" ht="12.75"/>
    <row r="6417" s="23" customFormat="1" ht="12.75"/>
    <row r="6418" s="23" customFormat="1" ht="12.75"/>
    <row r="6419" s="23" customFormat="1" ht="12.75"/>
    <row r="6420" s="23" customFormat="1" ht="12.75"/>
    <row r="6421" s="23" customFormat="1" ht="12.75"/>
    <row r="6422" s="23" customFormat="1" ht="12.75"/>
    <row r="6423" s="23" customFormat="1" ht="12.75"/>
    <row r="6424" s="23" customFormat="1" ht="12.75"/>
    <row r="6425" s="23" customFormat="1" ht="12.75"/>
    <row r="6426" s="23" customFormat="1" ht="12.75"/>
    <row r="6427" s="23" customFormat="1" ht="12.75"/>
    <row r="6428" s="23" customFormat="1" ht="12.75"/>
    <row r="6429" s="23" customFormat="1" ht="12.75"/>
    <row r="6430" s="23" customFormat="1" ht="12.75"/>
    <row r="6431" s="23" customFormat="1" ht="12.75"/>
    <row r="6432" s="23" customFormat="1" ht="12.75"/>
    <row r="6433" s="23" customFormat="1" ht="12.75"/>
    <row r="6434" s="23" customFormat="1" ht="12.75"/>
    <row r="6435" s="23" customFormat="1" ht="12.75"/>
    <row r="6436" s="23" customFormat="1" ht="12.75"/>
    <row r="6437" s="23" customFormat="1" ht="12.75"/>
    <row r="6438" s="23" customFormat="1" ht="12.75"/>
    <row r="6439" s="23" customFormat="1" ht="12.75"/>
    <row r="6440" s="23" customFormat="1" ht="12.75"/>
    <row r="6441" s="23" customFormat="1" ht="12.75"/>
    <row r="6442" s="23" customFormat="1" ht="12.75"/>
    <row r="6443" s="23" customFormat="1" ht="12.75"/>
    <row r="6444" s="23" customFormat="1" ht="12.75"/>
    <row r="6445" s="23" customFormat="1" ht="12.75"/>
    <row r="6446" s="23" customFormat="1" ht="12.75"/>
    <row r="6447" s="23" customFormat="1" ht="12.75"/>
    <row r="6448" s="23" customFormat="1" ht="12.75"/>
    <row r="6449" s="23" customFormat="1" ht="12.75"/>
    <row r="6450" s="23" customFormat="1" ht="12.75"/>
    <row r="6451" s="23" customFormat="1" ht="12.75"/>
    <row r="6452" s="23" customFormat="1" ht="12.75"/>
    <row r="6453" s="23" customFormat="1" ht="12.75"/>
    <row r="6454" s="23" customFormat="1" ht="12.75"/>
    <row r="6455" s="23" customFormat="1" ht="12.75"/>
    <row r="6456" s="23" customFormat="1" ht="12.75"/>
    <row r="6457" s="23" customFormat="1" ht="12.75"/>
    <row r="6458" s="23" customFormat="1" ht="12.75"/>
    <row r="6459" s="23" customFormat="1" ht="12.75"/>
    <row r="6460" s="23" customFormat="1" ht="12.75"/>
    <row r="6461" s="23" customFormat="1" ht="12.75"/>
    <row r="6462" s="23" customFormat="1" ht="12.75"/>
    <row r="6463" s="23" customFormat="1" ht="12.75"/>
    <row r="6464" s="23" customFormat="1" ht="12.75"/>
    <row r="6465" s="23" customFormat="1" ht="12.75"/>
    <row r="6466" s="23" customFormat="1" ht="12.75"/>
    <row r="6467" s="23" customFormat="1" ht="12.75"/>
    <row r="6468" s="23" customFormat="1" ht="12.75"/>
    <row r="6469" s="23" customFormat="1" ht="12.75"/>
    <row r="6470" s="23" customFormat="1" ht="12.75"/>
    <row r="6471" s="23" customFormat="1" ht="12.75"/>
    <row r="6472" s="23" customFormat="1" ht="12.75"/>
    <row r="6473" s="23" customFormat="1" ht="12.75"/>
    <row r="6474" s="23" customFormat="1" ht="12.75"/>
    <row r="6475" s="23" customFormat="1" ht="12.75"/>
    <row r="6476" s="23" customFormat="1" ht="12.75"/>
    <row r="6477" s="23" customFormat="1" ht="12.75"/>
    <row r="6478" s="23" customFormat="1" ht="12.75"/>
    <row r="6479" s="23" customFormat="1" ht="12.75"/>
    <row r="6480" s="23" customFormat="1" ht="12.75"/>
    <row r="6481" s="23" customFormat="1" ht="12.75"/>
    <row r="6482" s="23" customFormat="1" ht="12.75"/>
    <row r="6483" s="23" customFormat="1" ht="12.75"/>
    <row r="6484" s="23" customFormat="1" ht="12.75"/>
    <row r="6485" s="23" customFormat="1" ht="12.75"/>
    <row r="6486" s="23" customFormat="1" ht="12.75"/>
    <row r="6487" s="23" customFormat="1" ht="12.75"/>
    <row r="6488" s="23" customFormat="1" ht="12.75"/>
    <row r="6489" s="23" customFormat="1" ht="12.75"/>
    <row r="6490" s="23" customFormat="1" ht="12.75"/>
    <row r="6491" s="23" customFormat="1" ht="12.75"/>
    <row r="6492" s="23" customFormat="1" ht="12.75"/>
    <row r="6493" s="23" customFormat="1" ht="12.75"/>
    <row r="6494" s="23" customFormat="1" ht="12.75"/>
    <row r="6495" s="23" customFormat="1" ht="12.75"/>
    <row r="6496" s="23" customFormat="1" ht="12.75"/>
    <row r="6497" s="23" customFormat="1" ht="12.75"/>
    <row r="6498" s="23" customFormat="1" ht="12.75"/>
    <row r="6499" s="23" customFormat="1" ht="12.75"/>
    <row r="6500" s="23" customFormat="1" ht="12.75"/>
    <row r="6501" s="23" customFormat="1" ht="12.75"/>
    <row r="6502" s="23" customFormat="1" ht="12.75"/>
    <row r="6503" s="23" customFormat="1" ht="12.75"/>
    <row r="6504" s="23" customFormat="1" ht="12.75"/>
    <row r="6505" s="23" customFormat="1" ht="12.75"/>
    <row r="6506" s="23" customFormat="1" ht="12.75"/>
    <row r="6507" s="23" customFormat="1" ht="12.75"/>
    <row r="6508" s="23" customFormat="1" ht="12.75"/>
    <row r="6509" s="23" customFormat="1" ht="12.75"/>
    <row r="6510" s="23" customFormat="1" ht="12.75"/>
    <row r="6511" s="23" customFormat="1" ht="12.75"/>
    <row r="6512" s="23" customFormat="1" ht="12.75"/>
    <row r="6513" s="23" customFormat="1" ht="12.75"/>
    <row r="6514" s="23" customFormat="1" ht="12.75"/>
    <row r="6515" s="23" customFormat="1" ht="12.75"/>
    <row r="6516" s="23" customFormat="1" ht="12.75"/>
    <row r="6517" s="23" customFormat="1" ht="12.75"/>
    <row r="6518" s="23" customFormat="1" ht="12.75"/>
    <row r="6519" s="23" customFormat="1" ht="12.75"/>
    <row r="6520" s="23" customFormat="1" ht="12.75"/>
    <row r="6521" s="23" customFormat="1" ht="12.75"/>
    <row r="6522" s="23" customFormat="1" ht="12.75"/>
    <row r="6523" s="23" customFormat="1" ht="12.75"/>
    <row r="6524" s="23" customFormat="1" ht="12.75"/>
    <row r="6525" s="23" customFormat="1" ht="12.75"/>
    <row r="6526" s="23" customFormat="1" ht="12.75"/>
    <row r="6527" s="23" customFormat="1" ht="12.75"/>
    <row r="6528" s="23" customFormat="1" ht="12.75"/>
    <row r="6529" s="23" customFormat="1" ht="12.75"/>
    <row r="6530" s="23" customFormat="1" ht="12.75"/>
    <row r="6531" s="23" customFormat="1" ht="12.75"/>
    <row r="6532" s="23" customFormat="1" ht="12.75"/>
    <row r="6533" s="23" customFormat="1" ht="12.75"/>
    <row r="6534" s="23" customFormat="1" ht="12.75"/>
    <row r="6535" s="23" customFormat="1" ht="12.75"/>
    <row r="6536" s="23" customFormat="1" ht="12.75"/>
    <row r="6537" s="23" customFormat="1" ht="12.75"/>
    <row r="6538" s="23" customFormat="1" ht="12.75"/>
    <row r="6539" s="23" customFormat="1" ht="12.75"/>
    <row r="6540" s="23" customFormat="1" ht="12.75"/>
    <row r="6541" s="23" customFormat="1" ht="12.75"/>
    <row r="6542" s="23" customFormat="1" ht="12.75"/>
    <row r="6543" s="23" customFormat="1" ht="12.75"/>
    <row r="6544" s="23" customFormat="1" ht="12.75"/>
    <row r="6545" s="23" customFormat="1" ht="12.75"/>
    <row r="6546" s="23" customFormat="1" ht="12.75"/>
    <row r="6547" s="23" customFormat="1" ht="12.75"/>
    <row r="6548" s="23" customFormat="1" ht="12.75"/>
    <row r="6549" s="23" customFormat="1" ht="12.75"/>
    <row r="6550" s="23" customFormat="1" ht="12.75"/>
    <row r="6551" s="23" customFormat="1" ht="12.75"/>
    <row r="6552" s="23" customFormat="1" ht="12.75"/>
    <row r="6553" s="23" customFormat="1" ht="12.75"/>
    <row r="6554" s="23" customFormat="1" ht="12.75"/>
    <row r="6555" s="23" customFormat="1" ht="12.75"/>
    <row r="6556" s="23" customFormat="1" ht="12.75"/>
    <row r="6557" s="23" customFormat="1" ht="12.75"/>
    <row r="6558" s="23" customFormat="1" ht="12.75"/>
    <row r="6559" s="23" customFormat="1" ht="12.75"/>
    <row r="6560" s="23" customFormat="1" ht="12.75"/>
    <row r="6561" s="23" customFormat="1" ht="12.75"/>
    <row r="6562" s="23" customFormat="1" ht="12.75"/>
    <row r="6563" s="23" customFormat="1" ht="12.75"/>
    <row r="6564" s="23" customFormat="1" ht="12.75"/>
    <row r="6565" s="23" customFormat="1" ht="12.75"/>
    <row r="6566" s="23" customFormat="1" ht="12.75"/>
    <row r="6567" s="23" customFormat="1" ht="12.75"/>
    <row r="6568" s="23" customFormat="1" ht="12.75"/>
    <row r="6569" s="23" customFormat="1" ht="12.75"/>
    <row r="6570" s="23" customFormat="1" ht="12.75"/>
    <row r="6571" s="23" customFormat="1" ht="12.75"/>
    <row r="6572" s="23" customFormat="1" ht="12.75"/>
    <row r="6573" s="23" customFormat="1" ht="12.75"/>
    <row r="6574" s="23" customFormat="1" ht="12.75"/>
    <row r="6575" s="23" customFormat="1" ht="12.75"/>
    <row r="6576" s="23" customFormat="1" ht="12.75"/>
    <row r="6577" s="23" customFormat="1" ht="12.75"/>
    <row r="6578" s="23" customFormat="1" ht="12.75"/>
    <row r="6579" s="23" customFormat="1" ht="12.75"/>
    <row r="6580" s="23" customFormat="1" ht="12.75"/>
    <row r="6581" s="23" customFormat="1" ht="12.75"/>
    <row r="6582" s="23" customFormat="1" ht="12.75"/>
    <row r="6583" s="23" customFormat="1" ht="12.75"/>
    <row r="6584" s="23" customFormat="1" ht="12.75"/>
    <row r="6585" s="23" customFormat="1" ht="12.75"/>
    <row r="6586" s="23" customFormat="1" ht="12.75"/>
    <row r="6587" s="23" customFormat="1" ht="12.75"/>
    <row r="6588" s="23" customFormat="1" ht="12.75"/>
    <row r="6589" s="23" customFormat="1" ht="12.75"/>
    <row r="6590" s="23" customFormat="1" ht="12.75"/>
    <row r="6591" s="23" customFormat="1" ht="12.75"/>
    <row r="6592" s="23" customFormat="1" ht="12.75"/>
    <row r="6593" s="23" customFormat="1" ht="12.75"/>
    <row r="6594" s="23" customFormat="1" ht="12.75"/>
    <row r="6595" s="23" customFormat="1" ht="12.75"/>
    <row r="6596" s="23" customFormat="1" ht="12.75"/>
    <row r="6597" s="23" customFormat="1" ht="12.75"/>
    <row r="6598" s="23" customFormat="1" ht="12.75"/>
    <row r="6599" s="23" customFormat="1" ht="12.75"/>
    <row r="6600" s="23" customFormat="1" ht="12.75"/>
    <row r="6601" s="23" customFormat="1" ht="12.75"/>
    <row r="6602" s="23" customFormat="1" ht="12.75"/>
    <row r="6603" s="23" customFormat="1" ht="12.75"/>
    <row r="6604" s="23" customFormat="1" ht="12.75"/>
    <row r="6605" s="23" customFormat="1" ht="12.75"/>
    <row r="6606" s="23" customFormat="1" ht="12.75"/>
    <row r="6607" s="23" customFormat="1" ht="12.75"/>
    <row r="6608" s="23" customFormat="1" ht="12.75"/>
    <row r="6609" s="23" customFormat="1" ht="12.75"/>
    <row r="6610" s="23" customFormat="1" ht="12.75"/>
    <row r="6611" s="23" customFormat="1" ht="12.75"/>
    <row r="6612" s="23" customFormat="1" ht="12.75"/>
    <row r="6613" s="23" customFormat="1" ht="12.75"/>
    <row r="6614" s="23" customFormat="1" ht="12.75"/>
    <row r="6615" s="23" customFormat="1" ht="12.75"/>
    <row r="6616" s="23" customFormat="1" ht="12.75"/>
    <row r="6617" s="23" customFormat="1" ht="12.75"/>
    <row r="6618" s="23" customFormat="1" ht="12.75"/>
    <row r="6619" s="23" customFormat="1" ht="12.75"/>
    <row r="6620" s="23" customFormat="1" ht="12.75"/>
    <row r="6621" s="23" customFormat="1" ht="12.75"/>
    <row r="6622" s="23" customFormat="1" ht="12.75"/>
    <row r="6623" s="23" customFormat="1" ht="12.75"/>
    <row r="6624" s="23" customFormat="1" ht="12.75"/>
    <row r="6625" s="23" customFormat="1" ht="12.75"/>
    <row r="6626" s="23" customFormat="1" ht="12.75"/>
    <row r="6627" s="23" customFormat="1" ht="12.75"/>
    <row r="6628" s="23" customFormat="1" ht="12.75"/>
    <row r="6629" s="23" customFormat="1" ht="12.75"/>
    <row r="6630" s="23" customFormat="1" ht="12.75"/>
    <row r="6631" s="23" customFormat="1" ht="12.75"/>
    <row r="6632" s="23" customFormat="1" ht="12.75"/>
    <row r="6633" s="23" customFormat="1" ht="12.75"/>
    <row r="6634" s="23" customFormat="1" ht="12.75"/>
    <row r="6635" s="23" customFormat="1" ht="12.75"/>
    <row r="6636" s="23" customFormat="1" ht="12.75"/>
    <row r="6637" s="23" customFormat="1" ht="12.75"/>
    <row r="6638" s="23" customFormat="1" ht="12.75"/>
    <row r="6639" s="23" customFormat="1" ht="12.75"/>
    <row r="6640" s="23" customFormat="1" ht="12.75"/>
    <row r="6641" s="23" customFormat="1" ht="12.75"/>
    <row r="6642" s="23" customFormat="1" ht="12.75"/>
    <row r="6643" s="23" customFormat="1" ht="12.75"/>
    <row r="6644" s="23" customFormat="1" ht="12.75"/>
    <row r="6645" s="23" customFormat="1" ht="12.75"/>
    <row r="6646" s="23" customFormat="1" ht="12.75"/>
    <row r="6647" s="23" customFormat="1" ht="12.75"/>
    <row r="6648" s="23" customFormat="1" ht="12.75"/>
    <row r="6649" s="23" customFormat="1" ht="12.75"/>
    <row r="6650" s="23" customFormat="1" ht="12.75"/>
    <row r="6651" s="23" customFormat="1" ht="12.75"/>
    <row r="6652" s="23" customFormat="1" ht="12.75"/>
    <row r="6653" s="23" customFormat="1" ht="12.75"/>
    <row r="6654" s="23" customFormat="1" ht="12.75"/>
    <row r="6655" s="23" customFormat="1" ht="12.75"/>
    <row r="6656" s="23" customFormat="1" ht="12.75"/>
    <row r="6657" s="23" customFormat="1" ht="12.75"/>
    <row r="6658" s="23" customFormat="1" ht="12.75"/>
    <row r="6659" s="23" customFormat="1" ht="12.75"/>
    <row r="6660" s="23" customFormat="1" ht="12.75"/>
    <row r="6661" s="23" customFormat="1" ht="12.75"/>
    <row r="6662" s="23" customFormat="1" ht="12.75"/>
    <row r="6663" s="23" customFormat="1" ht="12.75"/>
    <row r="6664" s="23" customFormat="1" ht="12.75"/>
    <row r="6665" s="23" customFormat="1" ht="12.75"/>
    <row r="6666" s="23" customFormat="1" ht="12.75"/>
    <row r="6667" s="23" customFormat="1" ht="12.75"/>
    <row r="6668" s="23" customFormat="1" ht="12.75"/>
    <row r="6669" s="23" customFormat="1" ht="12.75"/>
    <row r="6670" s="23" customFormat="1" ht="12.75"/>
    <row r="6671" s="23" customFormat="1" ht="12.75"/>
    <row r="6672" s="23" customFormat="1" ht="12.75"/>
    <row r="6673" s="23" customFormat="1" ht="12.75"/>
    <row r="6674" s="23" customFormat="1" ht="12.75"/>
    <row r="6675" s="23" customFormat="1" ht="12.75"/>
    <row r="6676" s="23" customFormat="1" ht="12.75"/>
    <row r="6677" s="23" customFormat="1" ht="12.75"/>
    <row r="6678" s="23" customFormat="1" ht="12.75"/>
    <row r="6679" s="23" customFormat="1" ht="12.75"/>
    <row r="6680" s="23" customFormat="1" ht="12.75"/>
    <row r="6681" s="23" customFormat="1" ht="12.75"/>
    <row r="6682" s="23" customFormat="1" ht="12.75"/>
    <row r="6683" s="23" customFormat="1" ht="12.75"/>
    <row r="6684" s="23" customFormat="1" ht="12.75"/>
    <row r="6685" s="23" customFormat="1" ht="12.75"/>
    <row r="6686" s="23" customFormat="1" ht="12.75"/>
    <row r="6687" s="23" customFormat="1" ht="12.75"/>
    <row r="6688" s="23" customFormat="1" ht="12.75"/>
    <row r="6689" s="23" customFormat="1" ht="12.75"/>
    <row r="6690" s="23" customFormat="1" ht="12.75"/>
    <row r="6691" s="23" customFormat="1" ht="12.75"/>
    <row r="6692" s="23" customFormat="1" ht="12.75"/>
    <row r="6693" s="23" customFormat="1" ht="12.75"/>
    <row r="6694" s="23" customFormat="1" ht="12.75"/>
    <row r="6695" s="23" customFormat="1" ht="12.75"/>
    <row r="6696" s="23" customFormat="1" ht="12.75"/>
    <row r="6697" s="23" customFormat="1" ht="12.75"/>
    <row r="6698" s="23" customFormat="1" ht="12.75"/>
    <row r="6699" s="23" customFormat="1" ht="12.75"/>
    <row r="6700" s="23" customFormat="1" ht="12.75"/>
    <row r="6701" s="23" customFormat="1" ht="12.75"/>
    <row r="6702" s="23" customFormat="1" ht="12.75"/>
    <row r="6703" s="23" customFormat="1" ht="12.75"/>
    <row r="6704" s="23" customFormat="1" ht="12.75"/>
    <row r="6705" s="23" customFormat="1" ht="12.75"/>
    <row r="6706" s="23" customFormat="1" ht="12.75"/>
    <row r="6707" s="23" customFormat="1" ht="12.75"/>
    <row r="6708" s="23" customFormat="1" ht="12.75"/>
    <row r="6709" s="23" customFormat="1" ht="12.75"/>
    <row r="6710" s="23" customFormat="1" ht="12.75"/>
    <row r="6711" s="23" customFormat="1" ht="12.75"/>
    <row r="6712" s="23" customFormat="1" ht="12.75"/>
    <row r="6713" s="23" customFormat="1" ht="12.75"/>
    <row r="6714" s="23" customFormat="1" ht="12.75"/>
    <row r="6715" s="23" customFormat="1" ht="12.75"/>
    <row r="6716" s="23" customFormat="1" ht="12.75"/>
    <row r="6717" s="23" customFormat="1" ht="12.75"/>
    <row r="6718" s="23" customFormat="1" ht="12.75"/>
    <row r="6719" s="23" customFormat="1" ht="12.75"/>
    <row r="6720" s="23" customFormat="1" ht="12.75"/>
    <row r="6721" s="23" customFormat="1" ht="12.75"/>
    <row r="6722" s="23" customFormat="1" ht="12.75"/>
    <row r="6723" s="23" customFormat="1" ht="12.75"/>
    <row r="6724" s="23" customFormat="1" ht="12.75"/>
    <row r="6725" s="23" customFormat="1" ht="12.75"/>
    <row r="6726" s="23" customFormat="1" ht="12.75"/>
    <row r="6727" s="23" customFormat="1" ht="12.75"/>
    <row r="6728" s="23" customFormat="1" ht="12.75"/>
    <row r="6729" s="23" customFormat="1" ht="12.75"/>
    <row r="6730" s="23" customFormat="1" ht="12.75"/>
    <row r="6731" s="23" customFormat="1" ht="12.75"/>
    <row r="6732" s="23" customFormat="1" ht="12.75"/>
    <row r="6733" s="23" customFormat="1" ht="12.75"/>
    <row r="6734" s="23" customFormat="1" ht="12.75"/>
    <row r="6735" s="23" customFormat="1" ht="12.75"/>
    <row r="6736" s="23" customFormat="1" ht="12.75"/>
    <row r="6737" s="23" customFormat="1" ht="12.75"/>
    <row r="6738" s="23" customFormat="1" ht="12.75"/>
    <row r="6739" s="23" customFormat="1" ht="12.75"/>
    <row r="6740" s="23" customFormat="1" ht="12.75"/>
    <row r="6741" s="23" customFormat="1" ht="12.75"/>
    <row r="6742" s="23" customFormat="1" ht="12.75"/>
    <row r="6743" s="23" customFormat="1" ht="12.75"/>
    <row r="6744" s="23" customFormat="1" ht="12.75"/>
    <row r="6745" s="23" customFormat="1" ht="12.75"/>
    <row r="6746" s="23" customFormat="1" ht="12.75"/>
    <row r="6747" s="23" customFormat="1" ht="12.75"/>
    <row r="6748" s="23" customFormat="1" ht="12.75"/>
    <row r="6749" s="23" customFormat="1" ht="12.75"/>
    <row r="6750" s="23" customFormat="1" ht="12.75"/>
    <row r="6751" s="23" customFormat="1" ht="12.75"/>
    <row r="6752" s="23" customFormat="1" ht="12.75"/>
    <row r="6753" s="23" customFormat="1" ht="12.75"/>
    <row r="6754" s="23" customFormat="1" ht="12.75"/>
    <row r="6755" s="23" customFormat="1" ht="12.75"/>
    <row r="6756" s="23" customFormat="1" ht="12.75"/>
    <row r="6757" s="23" customFormat="1" ht="12.75"/>
    <row r="6758" s="23" customFormat="1" ht="12.75"/>
    <row r="6759" s="23" customFormat="1" ht="12.75"/>
    <row r="6760" s="23" customFormat="1" ht="12.75"/>
    <row r="6761" s="23" customFormat="1" ht="12.75"/>
    <row r="6762" s="23" customFormat="1" ht="12.75"/>
    <row r="6763" s="23" customFormat="1" ht="12.75"/>
    <row r="6764" s="23" customFormat="1" ht="12.75"/>
    <row r="6765" s="23" customFormat="1" ht="12.75"/>
    <row r="6766" s="23" customFormat="1" ht="12.75"/>
    <row r="6767" s="23" customFormat="1" ht="12.75"/>
    <row r="6768" s="23" customFormat="1" ht="12.75"/>
    <row r="6769" s="23" customFormat="1" ht="12.75"/>
    <row r="6770" s="23" customFormat="1" ht="12.75"/>
    <row r="6771" s="23" customFormat="1" ht="12.75"/>
    <row r="6772" s="23" customFormat="1" ht="12.75"/>
    <row r="6773" s="23" customFormat="1" ht="12.75"/>
    <row r="6774" s="23" customFormat="1" ht="12.75"/>
    <row r="6775" s="23" customFormat="1" ht="12.75"/>
    <row r="6776" s="23" customFormat="1" ht="12.75"/>
    <row r="6777" s="23" customFormat="1" ht="12.75"/>
    <row r="6778" s="23" customFormat="1" ht="12.75"/>
    <row r="6779" s="23" customFormat="1" ht="12.75"/>
    <row r="6780" s="23" customFormat="1" ht="12.75"/>
    <row r="6781" s="23" customFormat="1" ht="12.75"/>
    <row r="6782" s="23" customFormat="1" ht="12.75"/>
    <row r="6783" s="23" customFormat="1" ht="12.75"/>
    <row r="6784" s="23" customFormat="1" ht="12.75"/>
    <row r="6785" s="23" customFormat="1" ht="12.75"/>
    <row r="6786" s="23" customFormat="1" ht="12.75"/>
    <row r="6787" s="23" customFormat="1" ht="12.75"/>
    <row r="6788" s="23" customFormat="1" ht="12.75"/>
    <row r="6789" s="23" customFormat="1" ht="12.75"/>
    <row r="6790" s="23" customFormat="1" ht="12.75"/>
    <row r="6791" s="23" customFormat="1" ht="12.75"/>
    <row r="6792" s="23" customFormat="1" ht="12.75"/>
    <row r="6793" s="23" customFormat="1" ht="12.75"/>
    <row r="6794" s="23" customFormat="1" ht="12.75"/>
    <row r="6795" s="23" customFormat="1" ht="12.75"/>
    <row r="6796" s="23" customFormat="1" ht="12.75"/>
    <row r="6797" s="23" customFormat="1" ht="12.75"/>
    <row r="6798" s="23" customFormat="1" ht="12.75"/>
    <row r="6799" s="23" customFormat="1" ht="12.75"/>
    <row r="6800" s="23" customFormat="1" ht="12.75"/>
    <row r="6801" s="23" customFormat="1" ht="12.75"/>
    <row r="6802" s="23" customFormat="1" ht="12.75"/>
    <row r="6803" s="23" customFormat="1" ht="12.75"/>
    <row r="6804" s="23" customFormat="1" ht="12.75"/>
    <row r="6805" s="23" customFormat="1" ht="12.75"/>
    <row r="6806" s="23" customFormat="1" ht="12.75"/>
    <row r="6807" s="23" customFormat="1" ht="12.75"/>
    <row r="6808" s="23" customFormat="1" ht="12.75"/>
    <row r="6809" s="23" customFormat="1" ht="12.75"/>
    <row r="6810" s="23" customFormat="1" ht="12.75"/>
    <row r="6811" s="23" customFormat="1" ht="12.75"/>
    <row r="6812" s="23" customFormat="1" ht="12.75"/>
    <row r="6813" s="23" customFormat="1" ht="12.75"/>
    <row r="6814" s="23" customFormat="1" ht="12.75"/>
    <row r="6815" s="23" customFormat="1" ht="12.75"/>
    <row r="6816" s="23" customFormat="1" ht="12.75"/>
    <row r="6817" s="23" customFormat="1" ht="12.75"/>
    <row r="6818" s="23" customFormat="1" ht="12.75"/>
    <row r="6819" s="23" customFormat="1" ht="12.75"/>
    <row r="6820" s="23" customFormat="1" ht="12.75"/>
    <row r="6821" s="23" customFormat="1" ht="12.75"/>
    <row r="6822" s="23" customFormat="1" ht="12.75"/>
    <row r="6823" s="23" customFormat="1" ht="12.75"/>
    <row r="6824" s="23" customFormat="1" ht="12.75"/>
    <row r="6825" s="23" customFormat="1" ht="12.75"/>
    <row r="6826" s="23" customFormat="1" ht="12.75"/>
    <row r="6827" s="23" customFormat="1" ht="12.75"/>
    <row r="6828" s="23" customFormat="1" ht="12.75"/>
    <row r="6829" s="23" customFormat="1" ht="12.75"/>
    <row r="6830" s="23" customFormat="1" ht="12.75"/>
    <row r="6831" s="23" customFormat="1" ht="12.75"/>
    <row r="6832" s="23" customFormat="1" ht="12.75"/>
    <row r="6833" s="23" customFormat="1" ht="12.75"/>
    <row r="6834" s="23" customFormat="1" ht="12.75"/>
    <row r="6835" s="23" customFormat="1" ht="12.75"/>
    <row r="6836" s="23" customFormat="1" ht="12.75"/>
    <row r="6837" s="23" customFormat="1" ht="12.75"/>
    <row r="6838" s="23" customFormat="1" ht="12.75"/>
    <row r="6839" s="23" customFormat="1" ht="12.75"/>
    <row r="6840" s="23" customFormat="1" ht="12.75"/>
    <row r="6841" s="23" customFormat="1" ht="12.75"/>
    <row r="6842" s="23" customFormat="1" ht="12.75"/>
    <row r="6843" s="23" customFormat="1" ht="12.75"/>
    <row r="6844" s="23" customFormat="1" ht="12.75"/>
    <row r="6845" s="23" customFormat="1" ht="12.75"/>
    <row r="6846" s="23" customFormat="1" ht="12.75"/>
    <row r="6847" s="23" customFormat="1" ht="12.75"/>
    <row r="6848" s="23" customFormat="1" ht="12.75"/>
    <row r="6849" s="23" customFormat="1" ht="12.75"/>
    <row r="6850" s="23" customFormat="1" ht="12.75"/>
    <row r="6851" s="23" customFormat="1" ht="12.75"/>
    <row r="6852" s="23" customFormat="1" ht="12.75"/>
    <row r="6853" s="23" customFormat="1" ht="12.75"/>
    <row r="6854" s="23" customFormat="1" ht="12.75"/>
    <row r="6855" s="23" customFormat="1" ht="12.75"/>
    <row r="6856" s="23" customFormat="1" ht="12.75"/>
    <row r="6857" s="23" customFormat="1" ht="12.75"/>
    <row r="6858" s="23" customFormat="1" ht="12.75"/>
    <row r="6859" s="23" customFormat="1" ht="12.75"/>
    <row r="6860" s="23" customFormat="1" ht="12.75"/>
    <row r="6861" s="23" customFormat="1" ht="12.75"/>
    <row r="6862" s="23" customFormat="1" ht="12.75"/>
    <row r="6863" s="23" customFormat="1" ht="12.75"/>
    <row r="6864" s="23" customFormat="1" ht="12.75"/>
    <row r="6865" s="23" customFormat="1" ht="12.75"/>
    <row r="6866" s="23" customFormat="1" ht="12.75"/>
    <row r="6867" s="23" customFormat="1" ht="12.75"/>
    <row r="6868" s="23" customFormat="1" ht="12.75"/>
    <row r="6869" s="23" customFormat="1" ht="12.75"/>
    <row r="6870" s="23" customFormat="1" ht="12.75"/>
    <row r="6871" s="23" customFormat="1" ht="12.75"/>
    <row r="6872" s="23" customFormat="1" ht="12.75"/>
    <row r="6873" s="23" customFormat="1" ht="12.75"/>
    <row r="6874" s="23" customFormat="1" ht="12.75"/>
    <row r="6875" s="23" customFormat="1" ht="12.75"/>
    <row r="6876" s="23" customFormat="1" ht="12.75"/>
    <row r="6877" s="23" customFormat="1" ht="12.75"/>
    <row r="6878" s="23" customFormat="1" ht="12.75"/>
    <row r="6879" s="23" customFormat="1" ht="12.75"/>
    <row r="6880" s="23" customFormat="1" ht="12.75"/>
    <row r="6881" s="23" customFormat="1" ht="12.75"/>
    <row r="6882" s="23" customFormat="1" ht="12.75"/>
    <row r="6883" s="23" customFormat="1" ht="12.75"/>
    <row r="6884" s="23" customFormat="1" ht="12.75"/>
    <row r="6885" s="23" customFormat="1" ht="12.75"/>
    <row r="6886" s="23" customFormat="1" ht="12.75"/>
    <row r="6887" s="23" customFormat="1" ht="12.75"/>
    <row r="6888" s="23" customFormat="1" ht="12.75"/>
    <row r="6889" s="23" customFormat="1" ht="12.75"/>
    <row r="6890" s="23" customFormat="1" ht="12.75"/>
    <row r="6891" s="23" customFormat="1" ht="12.75"/>
    <row r="6892" s="23" customFormat="1" ht="12.75"/>
    <row r="6893" s="23" customFormat="1" ht="12.75"/>
    <row r="6894" s="23" customFormat="1" ht="12.75"/>
    <row r="6895" s="23" customFormat="1" ht="12.75"/>
    <row r="6896" s="23" customFormat="1" ht="12.75"/>
    <row r="6897" s="23" customFormat="1" ht="12.75"/>
    <row r="6898" s="23" customFormat="1" ht="12.75"/>
    <row r="6899" s="23" customFormat="1" ht="12.75"/>
    <row r="6900" s="23" customFormat="1" ht="12.75"/>
    <row r="6901" s="23" customFormat="1" ht="12.75"/>
    <row r="6902" s="23" customFormat="1" ht="12.75"/>
    <row r="6903" s="23" customFormat="1" ht="12.75"/>
    <row r="6904" s="23" customFormat="1" ht="12.75"/>
    <row r="6905" s="23" customFormat="1" ht="12.75"/>
    <row r="6906" s="23" customFormat="1" ht="12.75"/>
    <row r="6907" s="23" customFormat="1" ht="12.75"/>
    <row r="6908" s="23" customFormat="1" ht="12.75"/>
    <row r="6909" s="23" customFormat="1" ht="12.75"/>
    <row r="6910" s="23" customFormat="1" ht="12.75"/>
    <row r="6911" s="23" customFormat="1" ht="12.75"/>
    <row r="6912" s="23" customFormat="1" ht="12.75"/>
    <row r="6913" s="23" customFormat="1" ht="12.75"/>
    <row r="6914" s="23" customFormat="1" ht="12.75"/>
    <row r="6915" s="23" customFormat="1" ht="12.75"/>
    <row r="6916" s="23" customFormat="1" ht="12.75"/>
    <row r="6917" s="23" customFormat="1" ht="12.75"/>
    <row r="6918" s="23" customFormat="1" ht="12.75"/>
    <row r="6919" s="23" customFormat="1" ht="12.75"/>
    <row r="6920" s="23" customFormat="1" ht="12.75"/>
    <row r="6921" s="23" customFormat="1" ht="12.75"/>
    <row r="6922" s="23" customFormat="1" ht="12.75"/>
    <row r="6923" s="23" customFormat="1" ht="12.75"/>
    <row r="6924" s="23" customFormat="1" ht="12.75"/>
    <row r="6925" s="23" customFormat="1" ht="12.75"/>
    <row r="6926" s="23" customFormat="1" ht="12.75"/>
    <row r="6927" s="23" customFormat="1" ht="12.75"/>
    <row r="6928" s="23" customFormat="1" ht="12.75"/>
    <row r="6929" s="23" customFormat="1" ht="12.75"/>
    <row r="6930" s="23" customFormat="1" ht="12.75"/>
    <row r="6931" s="23" customFormat="1" ht="12.75"/>
    <row r="6932" s="23" customFormat="1" ht="12.75"/>
    <row r="6933" s="23" customFormat="1" ht="12.75"/>
    <row r="6934" s="23" customFormat="1" ht="12.75"/>
    <row r="6935" s="23" customFormat="1" ht="12.75"/>
    <row r="6936" s="23" customFormat="1" ht="12.75"/>
    <row r="6937" s="23" customFormat="1" ht="12.75"/>
    <row r="6938" s="23" customFormat="1" ht="12.75"/>
    <row r="6939" s="23" customFormat="1" ht="12.75"/>
    <row r="6940" s="23" customFormat="1" ht="12.75"/>
    <row r="6941" s="23" customFormat="1" ht="12.75"/>
    <row r="6942" s="23" customFormat="1" ht="12.75"/>
    <row r="6943" s="23" customFormat="1" ht="12.75"/>
    <row r="6944" s="23" customFormat="1" ht="12.75"/>
    <row r="6945" s="23" customFormat="1" ht="12.75"/>
    <row r="6946" s="23" customFormat="1" ht="12.75"/>
    <row r="6947" s="23" customFormat="1" ht="12.75"/>
    <row r="6948" s="23" customFormat="1" ht="12.75"/>
    <row r="6949" s="23" customFormat="1" ht="12.75"/>
    <row r="6950" s="23" customFormat="1" ht="12.75"/>
    <row r="6951" s="23" customFormat="1" ht="12.75"/>
    <row r="6952" s="23" customFormat="1" ht="12.75"/>
    <row r="6953" s="23" customFormat="1" ht="12.75"/>
    <row r="6954" s="23" customFormat="1" ht="12.75"/>
    <row r="6955" s="23" customFormat="1" ht="12.75"/>
    <row r="6956" s="23" customFormat="1" ht="12.75"/>
    <row r="6957" s="23" customFormat="1" ht="12.75"/>
    <row r="6958" s="23" customFormat="1" ht="12.75"/>
    <row r="6959" s="23" customFormat="1" ht="12.75"/>
    <row r="6960" s="23" customFormat="1" ht="12.75"/>
    <row r="6961" s="23" customFormat="1" ht="12.75"/>
    <row r="6962" s="23" customFormat="1" ht="12.75"/>
    <row r="6963" s="23" customFormat="1" ht="12.75"/>
    <row r="6964" s="23" customFormat="1" ht="12.75"/>
    <row r="6965" s="23" customFormat="1" ht="12.75"/>
    <row r="6966" s="23" customFormat="1" ht="12.75"/>
    <row r="6967" s="23" customFormat="1" ht="12.75"/>
    <row r="6968" s="23" customFormat="1" ht="12.75"/>
    <row r="6969" s="23" customFormat="1" ht="12.75"/>
    <row r="6970" s="23" customFormat="1" ht="12.75"/>
    <row r="6971" s="23" customFormat="1" ht="12.75"/>
    <row r="6972" s="23" customFormat="1" ht="12.75"/>
    <row r="6973" s="23" customFormat="1" ht="12.75"/>
    <row r="6974" s="23" customFormat="1" ht="12.75"/>
    <row r="6975" s="23" customFormat="1" ht="12.75"/>
    <row r="6976" s="23" customFormat="1" ht="12.75"/>
    <row r="6977" s="23" customFormat="1" ht="12.75"/>
    <row r="6978" s="23" customFormat="1" ht="12.75"/>
    <row r="6979" s="23" customFormat="1" ht="12.75"/>
    <row r="6980" s="23" customFormat="1" ht="12.75"/>
    <row r="6981" s="23" customFormat="1" ht="12.75"/>
    <row r="6982" s="23" customFormat="1" ht="12.75"/>
    <row r="6983" s="23" customFormat="1" ht="12.75"/>
    <row r="6984" s="23" customFormat="1" ht="12.75"/>
    <row r="6985" s="23" customFormat="1" ht="12.75"/>
    <row r="6986" s="23" customFormat="1" ht="12.75"/>
    <row r="6987" s="23" customFormat="1" ht="12.75"/>
    <row r="6988" s="23" customFormat="1" ht="12.75"/>
    <row r="6989" s="23" customFormat="1" ht="12.75"/>
    <row r="6990" s="23" customFormat="1" ht="12.75"/>
    <row r="6991" s="23" customFormat="1" ht="12.75"/>
    <row r="6992" s="23" customFormat="1" ht="12.75"/>
    <row r="6993" s="23" customFormat="1" ht="12.75"/>
    <row r="6994" s="23" customFormat="1" ht="12.75"/>
    <row r="6995" s="23" customFormat="1" ht="12.75"/>
    <row r="6996" s="23" customFormat="1" ht="12.75"/>
    <row r="6997" s="23" customFormat="1" ht="12.75"/>
    <row r="6998" s="23" customFormat="1" ht="12.75"/>
    <row r="6999" s="23" customFormat="1" ht="12.75"/>
    <row r="7000" s="23" customFormat="1" ht="12.75"/>
    <row r="7001" s="23" customFormat="1" ht="12.75"/>
    <row r="7002" s="23" customFormat="1" ht="12.75"/>
    <row r="7003" s="23" customFormat="1" ht="12.75"/>
    <row r="7004" s="23" customFormat="1" ht="12.75"/>
    <row r="7005" s="23" customFormat="1" ht="12.75"/>
    <row r="7006" s="23" customFormat="1" ht="12.75"/>
    <row r="7007" s="23" customFormat="1" ht="12.75"/>
    <row r="7008" s="23" customFormat="1" ht="12.75"/>
    <row r="7009" s="23" customFormat="1" ht="12.75"/>
    <row r="7010" s="23" customFormat="1" ht="12.75"/>
    <row r="7011" s="23" customFormat="1" ht="12.75"/>
    <row r="7012" s="23" customFormat="1" ht="12.75"/>
    <row r="7013" s="23" customFormat="1" ht="12.75"/>
    <row r="7014" s="23" customFormat="1" ht="12.75"/>
    <row r="7015" s="23" customFormat="1" ht="12.75"/>
    <row r="7016" s="23" customFormat="1" ht="12.75"/>
    <row r="7017" s="23" customFormat="1" ht="12.75"/>
    <row r="7018" s="23" customFormat="1" ht="12.75"/>
    <row r="7019" s="23" customFormat="1" ht="12.75"/>
    <row r="7020" s="23" customFormat="1" ht="12.75"/>
    <row r="7021" s="23" customFormat="1" ht="12.75"/>
    <row r="7022" s="23" customFormat="1" ht="12.75"/>
    <row r="7023" s="23" customFormat="1" ht="12.75"/>
    <row r="7024" s="23" customFormat="1" ht="12.75"/>
    <row r="7025" s="23" customFormat="1" ht="12.75"/>
    <row r="7026" s="23" customFormat="1" ht="12.75"/>
    <row r="7027" s="23" customFormat="1" ht="12.75"/>
    <row r="7028" s="23" customFormat="1" ht="12.75"/>
    <row r="7029" s="23" customFormat="1" ht="12.75"/>
    <row r="7030" s="23" customFormat="1" ht="12.75"/>
    <row r="7031" s="23" customFormat="1" ht="12.75"/>
    <row r="7032" s="23" customFormat="1" ht="12.75"/>
    <row r="7033" s="23" customFormat="1" ht="12.75"/>
    <row r="7034" s="23" customFormat="1" ht="12.75"/>
    <row r="7035" s="23" customFormat="1" ht="12.75"/>
    <row r="7036" s="23" customFormat="1" ht="12.75"/>
    <row r="7037" s="23" customFormat="1" ht="12.75"/>
    <row r="7038" s="23" customFormat="1" ht="12.75"/>
    <row r="7039" s="23" customFormat="1" ht="12.75"/>
    <row r="7040" s="23" customFormat="1" ht="12.75"/>
    <row r="7041" s="23" customFormat="1" ht="12.75"/>
    <row r="7042" s="23" customFormat="1" ht="12.75"/>
    <row r="7043" s="23" customFormat="1" ht="12.75"/>
    <row r="7044" s="23" customFormat="1" ht="12.75"/>
    <row r="7045" s="23" customFormat="1" ht="12.75"/>
    <row r="7046" s="23" customFormat="1" ht="12.75"/>
    <row r="7047" s="23" customFormat="1" ht="12.75"/>
    <row r="7048" s="23" customFormat="1" ht="12.75"/>
    <row r="7049" s="23" customFormat="1" ht="12.75"/>
    <row r="7050" s="23" customFormat="1" ht="12.75"/>
    <row r="7051" s="23" customFormat="1" ht="12.75"/>
    <row r="7052" s="23" customFormat="1" ht="12.75"/>
    <row r="7053" s="23" customFormat="1" ht="12.75"/>
    <row r="7054" s="23" customFormat="1" ht="12.75"/>
    <row r="7055" s="23" customFormat="1" ht="12.75"/>
    <row r="7056" s="23" customFormat="1" ht="12.75"/>
    <row r="7057" s="23" customFormat="1" ht="12.75"/>
    <row r="7058" s="23" customFormat="1" ht="12.75"/>
    <row r="7059" s="23" customFormat="1" ht="12.75"/>
    <row r="7060" s="23" customFormat="1" ht="12.75"/>
    <row r="7061" s="23" customFormat="1" ht="12.75"/>
    <row r="7062" s="23" customFormat="1" ht="12.75"/>
    <row r="7063" s="23" customFormat="1" ht="12.75"/>
    <row r="7064" s="23" customFormat="1" ht="12.75"/>
    <row r="7065" s="23" customFormat="1" ht="12.75"/>
    <row r="7066" s="23" customFormat="1" ht="12.75"/>
    <row r="7067" s="23" customFormat="1" ht="12.75"/>
    <row r="7068" s="23" customFormat="1" ht="12.75"/>
    <row r="7069" s="23" customFormat="1" ht="12.75"/>
    <row r="7070" s="23" customFormat="1" ht="12.75"/>
    <row r="7071" s="23" customFormat="1" ht="12.75"/>
    <row r="7072" s="23" customFormat="1" ht="12.75"/>
    <row r="7073" s="23" customFormat="1" ht="12.75"/>
    <row r="7074" s="23" customFormat="1" ht="12.75"/>
    <row r="7075" s="23" customFormat="1" ht="12.75"/>
    <row r="7076" s="23" customFormat="1" ht="12.75"/>
    <row r="7077" s="23" customFormat="1" ht="12.75"/>
    <row r="7078" s="23" customFormat="1" ht="12.75"/>
    <row r="7079" s="23" customFormat="1" ht="12.75"/>
    <row r="7080" s="23" customFormat="1" ht="12.75"/>
    <row r="7081" s="23" customFormat="1" ht="12.75"/>
    <row r="7082" s="23" customFormat="1" ht="12.75"/>
    <row r="7083" s="23" customFormat="1" ht="12.75"/>
    <row r="7084" s="23" customFormat="1" ht="12.75"/>
    <row r="7085" s="23" customFormat="1" ht="12.75"/>
    <row r="7086" s="23" customFormat="1" ht="12.75"/>
    <row r="7087" s="23" customFormat="1" ht="12.75"/>
    <row r="7088" s="23" customFormat="1" ht="12.75"/>
    <row r="7089" s="23" customFormat="1" ht="12.75"/>
    <row r="7090" s="23" customFormat="1" ht="12.75"/>
    <row r="7091" s="23" customFormat="1" ht="12.75"/>
    <row r="7092" s="23" customFormat="1" ht="12.75"/>
    <row r="7093" s="23" customFormat="1" ht="12.75"/>
    <row r="7094" s="23" customFormat="1" ht="12.75"/>
    <row r="7095" s="23" customFormat="1" ht="12.75"/>
    <row r="7096" s="23" customFormat="1" ht="12.75"/>
    <row r="7097" s="23" customFormat="1" ht="12.75"/>
    <row r="7098" s="23" customFormat="1" ht="12.75"/>
    <row r="7099" s="23" customFormat="1" ht="12.75"/>
    <row r="7100" s="23" customFormat="1" ht="12.75"/>
    <row r="7101" s="23" customFormat="1" ht="12.75"/>
    <row r="7102" s="23" customFormat="1" ht="12.75"/>
    <row r="7103" s="23" customFormat="1" ht="12.75"/>
    <row r="7104" s="23" customFormat="1" ht="12.75"/>
    <row r="7105" s="23" customFormat="1" ht="12.75"/>
    <row r="7106" s="23" customFormat="1" ht="12.75"/>
    <row r="7107" s="23" customFormat="1" ht="12.75"/>
    <row r="7108" s="23" customFormat="1" ht="12.75"/>
    <row r="7109" s="23" customFormat="1" ht="12.75"/>
    <row r="7110" s="23" customFormat="1" ht="12.75"/>
    <row r="7111" s="23" customFormat="1" ht="12.75"/>
    <row r="7112" s="23" customFormat="1" ht="12.75"/>
    <row r="7113" s="23" customFormat="1" ht="12.75"/>
    <row r="7114" s="23" customFormat="1" ht="12.75"/>
    <row r="7115" s="23" customFormat="1" ht="12.75"/>
    <row r="7116" s="23" customFormat="1" ht="12.75"/>
    <row r="7117" s="23" customFormat="1" ht="12.75"/>
    <row r="7118" s="23" customFormat="1" ht="12.75"/>
    <row r="7119" s="23" customFormat="1" ht="12.75"/>
    <row r="7120" s="23" customFormat="1" ht="12.75"/>
    <row r="7121" s="23" customFormat="1" ht="12.75"/>
    <row r="7122" s="23" customFormat="1" ht="12.75"/>
    <row r="7123" s="23" customFormat="1" ht="12.75"/>
    <row r="7124" s="23" customFormat="1" ht="12.75"/>
    <row r="7125" s="23" customFormat="1" ht="12.75"/>
    <row r="7126" s="23" customFormat="1" ht="12.75"/>
    <row r="7127" s="23" customFormat="1" ht="12.75"/>
    <row r="7128" s="23" customFormat="1" ht="12.75"/>
    <row r="7129" s="23" customFormat="1" ht="12.75"/>
    <row r="7130" s="23" customFormat="1" ht="12.75"/>
    <row r="7131" s="23" customFormat="1" ht="12.75"/>
    <row r="7132" s="23" customFormat="1" ht="12.75"/>
    <row r="7133" s="23" customFormat="1" ht="12.75"/>
    <row r="7134" s="23" customFormat="1" ht="12.75"/>
    <row r="7135" s="23" customFormat="1" ht="12.75"/>
    <row r="7136" s="23" customFormat="1" ht="12.75"/>
    <row r="7137" s="23" customFormat="1" ht="12.75"/>
    <row r="7138" s="23" customFormat="1" ht="12.75"/>
    <row r="7139" s="23" customFormat="1" ht="12.75"/>
    <row r="7140" s="23" customFormat="1" ht="12.75"/>
    <row r="7141" s="23" customFormat="1" ht="12.75"/>
    <row r="7142" s="23" customFormat="1" ht="12.75"/>
    <row r="7143" s="23" customFormat="1" ht="12.75"/>
    <row r="7144" s="23" customFormat="1" ht="12.75"/>
    <row r="7145" s="23" customFormat="1" ht="12.75"/>
    <row r="7146" s="23" customFormat="1" ht="12.75"/>
    <row r="7147" s="23" customFormat="1" ht="12.75"/>
    <row r="7148" s="23" customFormat="1" ht="12.75"/>
    <row r="7149" s="23" customFormat="1" ht="12.75"/>
    <row r="7150" s="23" customFormat="1" ht="12.75"/>
    <row r="7151" s="23" customFormat="1" ht="12.75"/>
    <row r="7152" s="23" customFormat="1" ht="12.75"/>
    <row r="7153" s="23" customFormat="1" ht="12.75"/>
    <row r="7154" s="23" customFormat="1" ht="12.75"/>
    <row r="7155" s="23" customFormat="1" ht="12.75"/>
    <row r="7156" s="23" customFormat="1" ht="12.75"/>
    <row r="7157" s="23" customFormat="1" ht="12.75"/>
    <row r="7158" s="23" customFormat="1" ht="12.75"/>
    <row r="7159" s="23" customFormat="1" ht="12.75"/>
    <row r="7160" s="23" customFormat="1" ht="12.75"/>
    <row r="7161" s="23" customFormat="1" ht="12.75"/>
    <row r="7162" s="23" customFormat="1" ht="12.75"/>
    <row r="7163" s="23" customFormat="1" ht="12.75"/>
    <row r="7164" s="23" customFormat="1" ht="12.75"/>
    <row r="7165" s="23" customFormat="1" ht="12.75"/>
    <row r="7166" s="23" customFormat="1" ht="12.75"/>
    <row r="7167" s="23" customFormat="1" ht="12.75"/>
    <row r="7168" s="23" customFormat="1" ht="12.75"/>
    <row r="7169" s="23" customFormat="1" ht="12.75"/>
    <row r="7170" s="23" customFormat="1" ht="12.75"/>
    <row r="7171" s="23" customFormat="1" ht="12.75"/>
    <row r="7172" s="23" customFormat="1" ht="12.75"/>
    <row r="7173" s="23" customFormat="1" ht="12.75"/>
    <row r="7174" s="23" customFormat="1" ht="12.75"/>
    <row r="7175" s="23" customFormat="1" ht="12.75"/>
    <row r="7176" s="23" customFormat="1" ht="12.75"/>
    <row r="7177" s="23" customFormat="1" ht="12.75"/>
    <row r="7178" s="23" customFormat="1" ht="12.75"/>
    <row r="7179" s="23" customFormat="1" ht="12.75"/>
    <row r="7180" s="23" customFormat="1" ht="12.75"/>
    <row r="7181" s="23" customFormat="1" ht="12.75"/>
    <row r="7182" s="23" customFormat="1" ht="12.75"/>
    <row r="7183" s="23" customFormat="1" ht="12.75"/>
    <row r="7184" s="23" customFormat="1" ht="12.75"/>
    <row r="7185" s="23" customFormat="1" ht="12.75"/>
    <row r="7186" s="23" customFormat="1" ht="12.75"/>
    <row r="7187" s="23" customFormat="1" ht="12.75"/>
    <row r="7188" s="23" customFormat="1" ht="12.75"/>
    <row r="7189" s="23" customFormat="1" ht="12.75"/>
    <row r="7190" s="23" customFormat="1" ht="12.75"/>
    <row r="7191" s="23" customFormat="1" ht="12.75"/>
    <row r="7192" s="23" customFormat="1" ht="12.75"/>
    <row r="7193" s="23" customFormat="1" ht="12.75"/>
    <row r="7194" s="23" customFormat="1" ht="12.75"/>
    <row r="7195" s="23" customFormat="1" ht="12.75"/>
    <row r="7196" s="23" customFormat="1" ht="12.75"/>
    <row r="7197" s="23" customFormat="1" ht="12.75"/>
    <row r="7198" s="23" customFormat="1" ht="12.75"/>
    <row r="7199" s="23" customFormat="1" ht="12.75"/>
    <row r="7200" s="23" customFormat="1" ht="12.75"/>
    <row r="7201" s="23" customFormat="1" ht="12.75"/>
    <row r="7202" s="23" customFormat="1" ht="12.75"/>
    <row r="7203" s="23" customFormat="1" ht="12.75"/>
    <row r="7204" s="23" customFormat="1" ht="12.75"/>
    <row r="7205" s="23" customFormat="1" ht="12.75"/>
    <row r="7206" s="23" customFormat="1" ht="12.75"/>
    <row r="7207" s="23" customFormat="1" ht="12.75"/>
    <row r="7208" s="23" customFormat="1" ht="12.75"/>
    <row r="7209" s="23" customFormat="1" ht="12.75"/>
    <row r="7210" s="23" customFormat="1" ht="12.75"/>
    <row r="7211" s="23" customFormat="1" ht="12.75"/>
    <row r="7212" s="23" customFormat="1" ht="12.75"/>
    <row r="7213" s="23" customFormat="1" ht="12.75"/>
    <row r="7214" s="23" customFormat="1" ht="12.75"/>
    <row r="7215" s="23" customFormat="1" ht="12.75"/>
    <row r="7216" s="23" customFormat="1" ht="12.75"/>
    <row r="7217" s="23" customFormat="1" ht="12.75"/>
    <row r="7218" s="23" customFormat="1" ht="12.75"/>
    <row r="7219" s="23" customFormat="1" ht="12.75"/>
    <row r="7220" s="23" customFormat="1" ht="12.75"/>
    <row r="7221" s="23" customFormat="1" ht="12.75"/>
    <row r="7222" s="23" customFormat="1" ht="12.75"/>
    <row r="7223" s="23" customFormat="1" ht="12.75"/>
    <row r="7224" s="23" customFormat="1" ht="12.75"/>
    <row r="7225" s="23" customFormat="1" ht="12.75"/>
    <row r="7226" s="23" customFormat="1" ht="12.75"/>
    <row r="7227" s="23" customFormat="1" ht="12.75"/>
    <row r="7228" s="23" customFormat="1" ht="12.75"/>
    <row r="7229" s="23" customFormat="1" ht="12.75"/>
    <row r="7230" s="23" customFormat="1" ht="12.75"/>
    <row r="7231" s="23" customFormat="1" ht="12.75"/>
    <row r="7232" s="23" customFormat="1" ht="12.75"/>
    <row r="7233" s="23" customFormat="1" ht="12.75"/>
    <row r="7234" s="23" customFormat="1" ht="12.75"/>
    <row r="7235" s="23" customFormat="1" ht="12.75"/>
    <row r="7236" s="23" customFormat="1" ht="12.75"/>
    <row r="7237" s="23" customFormat="1" ht="12.75"/>
    <row r="7238" s="23" customFormat="1" ht="12.75"/>
    <row r="7239" s="23" customFormat="1" ht="12.75"/>
    <row r="7240" s="23" customFormat="1" ht="12.75"/>
    <row r="7241" s="23" customFormat="1" ht="12.75"/>
    <row r="7242" s="23" customFormat="1" ht="12.75"/>
    <row r="7243" s="23" customFormat="1" ht="12.75"/>
    <row r="7244" s="23" customFormat="1" ht="12.75"/>
    <row r="7245" s="23" customFormat="1" ht="12.75"/>
    <row r="7246" s="23" customFormat="1" ht="12.75"/>
    <row r="7247" s="23" customFormat="1" ht="12.75"/>
    <row r="7248" s="23" customFormat="1" ht="12.75"/>
    <row r="7249" s="23" customFormat="1" ht="12.75"/>
    <row r="7250" s="23" customFormat="1" ht="12.75"/>
    <row r="7251" s="23" customFormat="1" ht="12.75"/>
    <row r="7252" s="23" customFormat="1" ht="12.75"/>
    <row r="7253" s="23" customFormat="1" ht="12.75"/>
    <row r="7254" s="23" customFormat="1" ht="12.75"/>
    <row r="7255" s="23" customFormat="1" ht="12.75"/>
    <row r="7256" s="23" customFormat="1" ht="12.75"/>
    <row r="7257" s="23" customFormat="1" ht="12.75"/>
    <row r="7258" s="23" customFormat="1" ht="12.75"/>
    <row r="7259" s="23" customFormat="1" ht="12.75"/>
    <row r="7260" s="23" customFormat="1" ht="12.75"/>
    <row r="7261" s="23" customFormat="1" ht="12.75"/>
    <row r="7262" s="23" customFormat="1" ht="12.75"/>
    <row r="7263" s="23" customFormat="1" ht="12.75"/>
    <row r="7264" s="23" customFormat="1" ht="12.75"/>
    <row r="7265" s="23" customFormat="1" ht="12.75"/>
    <row r="7266" s="23" customFormat="1" ht="12.75"/>
    <row r="7267" s="23" customFormat="1" ht="12.75"/>
    <row r="7268" s="23" customFormat="1" ht="12.75"/>
    <row r="7269" s="23" customFormat="1" ht="12.75"/>
    <row r="7270" s="23" customFormat="1" ht="12.75"/>
    <row r="7271" s="23" customFormat="1" ht="12.75"/>
    <row r="7272" s="23" customFormat="1" ht="12.75"/>
    <row r="7273" s="23" customFormat="1" ht="12.75"/>
    <row r="7274" s="23" customFormat="1" ht="12.75"/>
    <row r="7275" s="23" customFormat="1" ht="12.75"/>
    <row r="7276" s="23" customFormat="1" ht="12.75"/>
    <row r="7277" s="23" customFormat="1" ht="12.75"/>
    <row r="7278" s="23" customFormat="1" ht="12.75"/>
    <row r="7279" s="23" customFormat="1" ht="12.75"/>
    <row r="7280" s="23" customFormat="1" ht="12.75"/>
    <row r="7281" s="23" customFormat="1" ht="12.75"/>
    <row r="7282" s="23" customFormat="1" ht="12.75"/>
    <row r="7283" s="23" customFormat="1" ht="12.75"/>
    <row r="7284" s="23" customFormat="1" ht="12.75"/>
    <row r="7285" s="23" customFormat="1" ht="12.75"/>
    <row r="7286" s="23" customFormat="1" ht="12.75"/>
    <row r="7287" s="23" customFormat="1" ht="12.75"/>
    <row r="7288" s="23" customFormat="1" ht="12.75"/>
    <row r="7289" s="23" customFormat="1" ht="12.75"/>
    <row r="7290" s="23" customFormat="1" ht="12.75"/>
    <row r="7291" s="23" customFormat="1" ht="12.75"/>
    <row r="7292" s="23" customFormat="1" ht="12.75"/>
    <row r="7293" s="23" customFormat="1" ht="12.75"/>
    <row r="7294" s="23" customFormat="1" ht="12.75"/>
    <row r="7295" s="23" customFormat="1" ht="12.75"/>
    <row r="7296" s="23" customFormat="1" ht="12.75"/>
    <row r="7297" s="23" customFormat="1" ht="12.75"/>
    <row r="7298" s="23" customFormat="1" ht="12.75"/>
    <row r="7299" s="23" customFormat="1" ht="12.75"/>
    <row r="7300" s="23" customFormat="1" ht="12.75"/>
    <row r="7301" s="23" customFormat="1" ht="12.75"/>
    <row r="7302" s="23" customFormat="1" ht="12.75"/>
    <row r="7303" s="23" customFormat="1" ht="12.75"/>
    <row r="7304" s="23" customFormat="1" ht="12.75"/>
    <row r="7305" s="23" customFormat="1" ht="12.75"/>
    <row r="7306" s="23" customFormat="1" ht="12.75"/>
    <row r="7307" s="23" customFormat="1" ht="12.75"/>
    <row r="7308" s="23" customFormat="1" ht="12.75"/>
    <row r="7309" s="23" customFormat="1" ht="12.75"/>
    <row r="7310" s="23" customFormat="1" ht="12.75"/>
    <row r="7311" s="23" customFormat="1" ht="12.75"/>
    <row r="7312" s="23" customFormat="1" ht="12.75"/>
    <row r="7313" s="23" customFormat="1" ht="12.75"/>
    <row r="7314" s="23" customFormat="1" ht="12.75"/>
    <row r="7315" s="23" customFormat="1" ht="12.75"/>
    <row r="7316" s="23" customFormat="1" ht="12.75"/>
    <row r="7317" s="23" customFormat="1" ht="12.75"/>
    <row r="7318" s="23" customFormat="1" ht="12.75"/>
    <row r="7319" s="23" customFormat="1" ht="12.75"/>
    <row r="7320" s="23" customFormat="1" ht="12.75"/>
    <row r="7321" s="23" customFormat="1" ht="12.75"/>
    <row r="7322" s="23" customFormat="1" ht="12.75"/>
    <row r="7323" s="23" customFormat="1" ht="12.75"/>
    <row r="7324" s="23" customFormat="1" ht="12.75"/>
    <row r="7325" s="23" customFormat="1" ht="12.75"/>
    <row r="7326" s="23" customFormat="1" ht="12.75"/>
    <row r="7327" s="23" customFormat="1" ht="12.75"/>
    <row r="7328" s="23" customFormat="1" ht="12.75"/>
    <row r="7329" s="23" customFormat="1" ht="12.75"/>
    <row r="7330" s="23" customFormat="1" ht="12.75"/>
    <row r="7331" s="23" customFormat="1" ht="12.75"/>
    <row r="7332" s="23" customFormat="1" ht="12.75"/>
    <row r="7333" s="23" customFormat="1" ht="12.75"/>
    <row r="7334" s="23" customFormat="1" ht="12.75"/>
    <row r="7335" s="23" customFormat="1" ht="12.75"/>
    <row r="7336" s="23" customFormat="1" ht="12.75"/>
    <row r="7337" s="23" customFormat="1" ht="12.75"/>
    <row r="7338" s="23" customFormat="1" ht="12.75"/>
    <row r="7339" s="23" customFormat="1" ht="12.75"/>
    <row r="7340" s="23" customFormat="1" ht="12.75"/>
    <row r="7341" s="23" customFormat="1" ht="12.75"/>
    <row r="7342" s="23" customFormat="1" ht="12.75"/>
    <row r="7343" s="23" customFormat="1" ht="12.75"/>
    <row r="7344" s="23" customFormat="1" ht="12.75"/>
    <row r="7345" s="23" customFormat="1" ht="12.75"/>
    <row r="7346" s="23" customFormat="1" ht="12.75"/>
    <row r="7347" s="23" customFormat="1" ht="12.75"/>
    <row r="7348" s="23" customFormat="1" ht="12.75"/>
    <row r="7349" s="23" customFormat="1" ht="12.75"/>
    <row r="7350" s="23" customFormat="1" ht="12.75"/>
    <row r="7351" s="23" customFormat="1" ht="12.75"/>
    <row r="7352" s="23" customFormat="1" ht="12.75"/>
    <row r="7353" s="23" customFormat="1" ht="12.75"/>
    <row r="7354" s="23" customFormat="1" ht="12.75"/>
    <row r="7355" s="23" customFormat="1" ht="12.75"/>
    <row r="7356" s="23" customFormat="1" ht="12.75"/>
    <row r="7357" s="23" customFormat="1" ht="12.75"/>
    <row r="7358" s="23" customFormat="1" ht="12.75"/>
    <row r="7359" s="23" customFormat="1" ht="12.75"/>
    <row r="7360" s="23" customFormat="1" ht="12.75"/>
    <row r="7361" s="23" customFormat="1" ht="12.75"/>
    <row r="7362" s="23" customFormat="1" ht="12.75"/>
    <row r="7363" s="23" customFormat="1" ht="12.75"/>
    <row r="7364" s="23" customFormat="1" ht="12.75"/>
    <row r="7365" s="23" customFormat="1" ht="12.75"/>
    <row r="7366" s="23" customFormat="1" ht="12.75"/>
    <row r="7367" s="23" customFormat="1" ht="12.75"/>
    <row r="7368" s="23" customFormat="1" ht="12.75"/>
    <row r="7369" s="23" customFormat="1" ht="12.75"/>
    <row r="7370" s="23" customFormat="1" ht="12.75"/>
    <row r="7371" s="23" customFormat="1" ht="12.75"/>
    <row r="7372" s="23" customFormat="1" ht="12.75"/>
    <row r="7373" s="23" customFormat="1" ht="12.75"/>
    <row r="7374" s="23" customFormat="1" ht="12.75"/>
    <row r="7375" s="23" customFormat="1" ht="12.75"/>
    <row r="7376" s="23" customFormat="1" ht="12.75"/>
    <row r="7377" s="23" customFormat="1" ht="12.75"/>
    <row r="7378" s="23" customFormat="1" ht="12.75"/>
    <row r="7379" s="23" customFormat="1" ht="12.75"/>
    <row r="7380" s="23" customFormat="1" ht="12.75"/>
    <row r="7381" s="23" customFormat="1" ht="12.75"/>
    <row r="7382" s="23" customFormat="1" ht="12.75"/>
    <row r="7383" s="23" customFormat="1" ht="12.75"/>
    <row r="7384" s="23" customFormat="1" ht="12.75"/>
    <row r="7385" s="23" customFormat="1" ht="12.75"/>
    <row r="7386" s="23" customFormat="1" ht="12.75"/>
    <row r="7387" s="23" customFormat="1" ht="12.75"/>
    <row r="7388" s="23" customFormat="1" ht="12.75"/>
    <row r="7389" s="23" customFormat="1" ht="12.75"/>
    <row r="7390" s="23" customFormat="1" ht="12.75"/>
    <row r="7391" s="23" customFormat="1" ht="12.75"/>
    <row r="7392" s="23" customFormat="1" ht="12.75"/>
    <row r="7393" s="23" customFormat="1" ht="12.75"/>
    <row r="7394" s="23" customFormat="1" ht="12.75"/>
    <row r="7395" s="23" customFormat="1" ht="12.75"/>
    <row r="7396" s="23" customFormat="1" ht="12.75"/>
    <row r="7397" s="23" customFormat="1" ht="12.75"/>
    <row r="7398" s="23" customFormat="1" ht="12.75"/>
    <row r="7399" s="23" customFormat="1" ht="12.75"/>
    <row r="7400" s="23" customFormat="1" ht="12.75"/>
    <row r="7401" s="23" customFormat="1" ht="12.75"/>
    <row r="7402" s="23" customFormat="1" ht="12.75"/>
    <row r="7403" s="23" customFormat="1" ht="12.75"/>
    <row r="7404" s="23" customFormat="1" ht="12.75"/>
    <row r="7405" s="23" customFormat="1" ht="12.75"/>
    <row r="7406" s="23" customFormat="1" ht="12.75"/>
    <row r="7407" s="23" customFormat="1" ht="12.75"/>
    <row r="7408" s="23" customFormat="1" ht="12.75"/>
    <row r="7409" s="23" customFormat="1" ht="12.75"/>
    <row r="7410" s="23" customFormat="1" ht="12.75"/>
    <row r="7411" s="23" customFormat="1" ht="12.75"/>
    <row r="7412" s="23" customFormat="1" ht="12.75"/>
    <row r="7413" s="23" customFormat="1" ht="12.75"/>
    <row r="7414" s="23" customFormat="1" ht="12.75"/>
    <row r="7415" s="23" customFormat="1" ht="12.75"/>
    <row r="7416" s="23" customFormat="1" ht="12.75"/>
    <row r="7417" s="23" customFormat="1" ht="12.75"/>
    <row r="7418" s="23" customFormat="1" ht="12.75"/>
    <row r="7419" s="23" customFormat="1" ht="12.75"/>
    <row r="7420" s="23" customFormat="1" ht="12.75"/>
    <row r="7421" s="23" customFormat="1" ht="12.75"/>
    <row r="7422" s="23" customFormat="1" ht="12.75"/>
    <row r="7423" s="23" customFormat="1" ht="12.75"/>
    <row r="7424" s="23" customFormat="1" ht="12.75"/>
    <row r="7425" s="23" customFormat="1" ht="12.75"/>
    <row r="7426" s="23" customFormat="1" ht="12.75"/>
    <row r="7427" s="23" customFormat="1" ht="12.75"/>
    <row r="7428" s="23" customFormat="1" ht="12.75"/>
    <row r="7429" s="23" customFormat="1" ht="12.75"/>
    <row r="7430" s="23" customFormat="1" ht="12.75"/>
    <row r="7431" s="23" customFormat="1" ht="12.75"/>
    <row r="7432" s="23" customFormat="1" ht="12.75"/>
    <row r="7433" s="23" customFormat="1" ht="12.75"/>
    <row r="7434" s="23" customFormat="1" ht="12.75"/>
    <row r="7435" s="23" customFormat="1" ht="12.75"/>
    <row r="7436" s="23" customFormat="1" ht="12.75"/>
    <row r="7437" s="23" customFormat="1" ht="12.75"/>
    <row r="7438" s="23" customFormat="1" ht="12.75"/>
    <row r="7439" s="23" customFormat="1" ht="12.75"/>
    <row r="7440" s="23" customFormat="1" ht="12.75"/>
    <row r="7441" s="23" customFormat="1" ht="12.75"/>
    <row r="7442" s="23" customFormat="1" ht="12.75"/>
    <row r="7443" s="23" customFormat="1" ht="12.75"/>
    <row r="7444" s="23" customFormat="1" ht="12.75"/>
    <row r="7445" s="23" customFormat="1" ht="12.75"/>
    <row r="7446" s="23" customFormat="1" ht="12.75"/>
    <row r="7447" s="23" customFormat="1" ht="12.75"/>
    <row r="7448" s="23" customFormat="1" ht="12.75"/>
    <row r="7449" s="23" customFormat="1" ht="12.75"/>
    <row r="7450" s="23" customFormat="1" ht="12.75"/>
    <row r="7451" s="23" customFormat="1" ht="12.75"/>
    <row r="7452" s="23" customFormat="1" ht="12.75"/>
    <row r="7453" s="23" customFormat="1" ht="12.75"/>
    <row r="7454" s="23" customFormat="1" ht="12.75"/>
    <row r="7455" s="23" customFormat="1" ht="12.75"/>
    <row r="7456" s="23" customFormat="1" ht="12.75"/>
    <row r="7457" s="23" customFormat="1" ht="12.75"/>
    <row r="7458" s="23" customFormat="1" ht="12.75"/>
    <row r="7459" s="23" customFormat="1" ht="12.75"/>
    <row r="7460" s="23" customFormat="1" ht="12.75"/>
    <row r="7461" s="23" customFormat="1" ht="12.75"/>
    <row r="7462" s="23" customFormat="1" ht="12.75"/>
    <row r="7463" s="23" customFormat="1" ht="12.75"/>
    <row r="7464" s="23" customFormat="1" ht="12.75"/>
    <row r="7465" s="23" customFormat="1" ht="12.75"/>
    <row r="7466" s="23" customFormat="1" ht="12.75"/>
    <row r="7467" s="23" customFormat="1" ht="12.75"/>
    <row r="7468" s="23" customFormat="1" ht="12.75"/>
    <row r="7469" s="23" customFormat="1" ht="12.75"/>
    <row r="7470" s="23" customFormat="1" ht="12.75"/>
    <row r="7471" s="23" customFormat="1" ht="12.75"/>
    <row r="7472" s="23" customFormat="1" ht="12.75"/>
    <row r="7473" s="23" customFormat="1" ht="12.75"/>
    <row r="7474" s="23" customFormat="1" ht="12.75"/>
    <row r="7475" s="23" customFormat="1" ht="12.75"/>
    <row r="7476" s="23" customFormat="1" ht="12.75"/>
    <row r="7477" s="23" customFormat="1" ht="12.75"/>
    <row r="7478" s="23" customFormat="1" ht="12.75"/>
    <row r="7479" s="23" customFormat="1" ht="12.75"/>
    <row r="7480" s="23" customFormat="1" ht="12.75"/>
    <row r="7481" s="23" customFormat="1" ht="12.75"/>
    <row r="7482" s="23" customFormat="1" ht="12.75"/>
    <row r="7483" s="23" customFormat="1" ht="12.75"/>
    <row r="7484" s="23" customFormat="1" ht="12.75"/>
    <row r="7485" s="23" customFormat="1" ht="12.75"/>
    <row r="7486" s="23" customFormat="1" ht="12.75"/>
    <row r="7487" s="23" customFormat="1" ht="12.75"/>
    <row r="7488" s="23" customFormat="1" ht="12.75"/>
    <row r="7489" s="23" customFormat="1" ht="12.75"/>
    <row r="7490" s="23" customFormat="1" ht="12.75"/>
    <row r="7491" s="23" customFormat="1" ht="12.75"/>
    <row r="7492" s="23" customFormat="1" ht="12.75"/>
    <row r="7493" s="23" customFormat="1" ht="12.75"/>
    <row r="7494" s="23" customFormat="1" ht="12.75"/>
    <row r="7495" s="23" customFormat="1" ht="12.75"/>
    <row r="7496" s="23" customFormat="1" ht="12.75"/>
    <row r="7497" s="23" customFormat="1" ht="12.75"/>
    <row r="7498" s="23" customFormat="1" ht="12.75"/>
    <row r="7499" s="23" customFormat="1" ht="12.75"/>
    <row r="7500" s="23" customFormat="1" ht="12.75"/>
    <row r="7501" s="23" customFormat="1" ht="12.75"/>
    <row r="7502" s="23" customFormat="1" ht="12.75"/>
    <row r="7503" s="23" customFormat="1" ht="12.75"/>
    <row r="7504" s="23" customFormat="1" ht="12.75"/>
    <row r="7505" s="23" customFormat="1" ht="12.75"/>
    <row r="7506" s="23" customFormat="1" ht="12.75"/>
    <row r="7507" s="23" customFormat="1" ht="12.75"/>
    <row r="7508" s="23" customFormat="1" ht="12.75"/>
    <row r="7509" s="23" customFormat="1" ht="12.75"/>
    <row r="7510" s="23" customFormat="1" ht="12.75"/>
    <row r="7511" s="23" customFormat="1" ht="12.75"/>
    <row r="7512" s="23" customFormat="1" ht="12.75"/>
    <row r="7513" s="23" customFormat="1" ht="12.75"/>
    <row r="7514" s="23" customFormat="1" ht="12.75"/>
    <row r="7515" s="23" customFormat="1" ht="12.75"/>
    <row r="7516" s="23" customFormat="1" ht="12.75"/>
    <row r="7517" s="23" customFormat="1" ht="12.75"/>
    <row r="7518" s="23" customFormat="1" ht="12.75"/>
    <row r="7519" s="23" customFormat="1" ht="12.75"/>
    <row r="7520" s="23" customFormat="1" ht="12.75"/>
    <row r="7521" s="23" customFormat="1" ht="12.75"/>
    <row r="7522" s="23" customFormat="1" ht="12.75"/>
    <row r="7523" s="23" customFormat="1" ht="12.75"/>
    <row r="7524" s="23" customFormat="1" ht="12.75"/>
    <row r="7525" s="23" customFormat="1" ht="12.75"/>
    <row r="7526" s="23" customFormat="1" ht="12.75"/>
    <row r="7527" s="23" customFormat="1" ht="12.75"/>
    <row r="7528" s="23" customFormat="1" ht="12.75"/>
    <row r="7529" s="23" customFormat="1" ht="12.75"/>
    <row r="7530" s="23" customFormat="1" ht="12.75"/>
    <row r="7531" s="23" customFormat="1" ht="12.75"/>
    <row r="7532" s="23" customFormat="1" ht="12.75"/>
    <row r="7533" s="23" customFormat="1" ht="12.75"/>
    <row r="7534" s="23" customFormat="1" ht="12.75"/>
    <row r="7535" s="23" customFormat="1" ht="12.75"/>
    <row r="7536" s="23" customFormat="1" ht="12.75"/>
    <row r="7537" s="23" customFormat="1" ht="12.75"/>
    <row r="7538" s="23" customFormat="1" ht="12.75"/>
    <row r="7539" s="23" customFormat="1" ht="12.75"/>
    <row r="7540" s="23" customFormat="1" ht="12.75"/>
    <row r="7541" s="23" customFormat="1" ht="12.75"/>
    <row r="7542" s="23" customFormat="1" ht="12.75"/>
    <row r="7543" s="23" customFormat="1" ht="12.75"/>
    <row r="7544" s="23" customFormat="1" ht="12.75"/>
    <row r="7545" s="23" customFormat="1" ht="12.75"/>
    <row r="7546" s="23" customFormat="1" ht="12.75"/>
    <row r="7547" s="23" customFormat="1" ht="12.75"/>
    <row r="7548" s="23" customFormat="1" ht="12.75"/>
    <row r="7549" s="23" customFormat="1" ht="12.75"/>
    <row r="7550" s="23" customFormat="1" ht="12.75"/>
    <row r="7551" s="23" customFormat="1" ht="12.75"/>
    <row r="7552" s="23" customFormat="1" ht="12.75"/>
    <row r="7553" s="23" customFormat="1" ht="12.75"/>
    <row r="7554" s="23" customFormat="1" ht="12.75"/>
    <row r="7555" s="23" customFormat="1" ht="12.75"/>
    <row r="7556" s="23" customFormat="1" ht="12.75"/>
    <row r="7557" s="23" customFormat="1" ht="12.75"/>
    <row r="7558" s="23" customFormat="1" ht="12.75"/>
    <row r="7559" s="23" customFormat="1" ht="12.75"/>
    <row r="7560" s="23" customFormat="1" ht="12.75"/>
    <row r="7561" s="23" customFormat="1" ht="12.75"/>
    <row r="7562" s="23" customFormat="1" ht="12.75"/>
    <row r="7563" s="23" customFormat="1" ht="12.75"/>
    <row r="7564" s="23" customFormat="1" ht="12.75"/>
    <row r="7565" s="23" customFormat="1" ht="12.75"/>
    <row r="7566" s="23" customFormat="1" ht="12.75"/>
    <row r="7567" s="23" customFormat="1" ht="12.75"/>
    <row r="7568" s="23" customFormat="1" ht="12.75"/>
    <row r="7569" s="23" customFormat="1" ht="12.75"/>
    <row r="7570" s="23" customFormat="1" ht="12.75"/>
    <row r="7571" s="23" customFormat="1" ht="12.75"/>
    <row r="7572" s="23" customFormat="1" ht="12.75"/>
    <row r="7573" s="23" customFormat="1" ht="12.75"/>
    <row r="7574" s="23" customFormat="1" ht="12.75"/>
    <row r="7575" s="23" customFormat="1" ht="12.75"/>
    <row r="7576" s="23" customFormat="1" ht="12.75"/>
    <row r="7577" s="23" customFormat="1" ht="12.75"/>
    <row r="7578" s="23" customFormat="1" ht="12.75"/>
    <row r="7579" s="23" customFormat="1" ht="12.75"/>
    <row r="7580" s="23" customFormat="1" ht="12.75"/>
    <row r="7581" s="23" customFormat="1" ht="12.75"/>
    <row r="7582" s="23" customFormat="1" ht="12.75"/>
    <row r="7583" s="23" customFormat="1" ht="12.75"/>
    <row r="7584" s="23" customFormat="1" ht="12.75"/>
    <row r="7585" s="23" customFormat="1" ht="12.75"/>
    <row r="7586" s="23" customFormat="1" ht="12.75"/>
    <row r="7587" s="23" customFormat="1" ht="12.75"/>
    <row r="7588" s="23" customFormat="1" ht="12.75"/>
    <row r="7589" s="23" customFormat="1" ht="12.75"/>
    <row r="7590" s="23" customFormat="1" ht="12.75"/>
    <row r="7591" s="23" customFormat="1" ht="12.75"/>
    <row r="7592" s="23" customFormat="1" ht="12.75"/>
    <row r="7593" s="23" customFormat="1" ht="12.75"/>
    <row r="7594" s="23" customFormat="1" ht="12.75"/>
    <row r="7595" s="23" customFormat="1" ht="12.75"/>
    <row r="7596" s="23" customFormat="1" ht="12.75"/>
    <row r="7597" s="23" customFormat="1" ht="12.75"/>
    <row r="7598" s="23" customFormat="1" ht="12.75"/>
    <row r="7599" s="23" customFormat="1" ht="12.75"/>
    <row r="7600" s="23" customFormat="1" ht="12.75"/>
    <row r="7601" s="23" customFormat="1" ht="12.75"/>
    <row r="7602" s="23" customFormat="1" ht="12.75"/>
    <row r="7603" s="23" customFormat="1" ht="12.75"/>
    <row r="7604" s="23" customFormat="1" ht="12.75"/>
    <row r="7605" s="23" customFormat="1" ht="12.75"/>
    <row r="7606" s="23" customFormat="1" ht="12.75"/>
    <row r="7607" s="23" customFormat="1" ht="12.75"/>
    <row r="7608" s="23" customFormat="1" ht="12.75"/>
    <row r="7609" s="23" customFormat="1" ht="12.75"/>
    <row r="7610" s="23" customFormat="1" ht="12.75"/>
    <row r="7611" s="23" customFormat="1" ht="12.75"/>
    <row r="7612" s="23" customFormat="1" ht="12.75"/>
    <row r="7613" s="23" customFormat="1" ht="12.75"/>
    <row r="7614" s="23" customFormat="1" ht="12.75"/>
    <row r="7615" s="23" customFormat="1" ht="12.75"/>
    <row r="7616" s="23" customFormat="1" ht="12.75"/>
    <row r="7617" s="23" customFormat="1" ht="12.75"/>
    <row r="7618" s="23" customFormat="1" ht="12.75"/>
    <row r="7619" s="23" customFormat="1" ht="12.75"/>
    <row r="7620" s="23" customFormat="1" ht="12.75"/>
    <row r="7621" s="23" customFormat="1" ht="12.75"/>
    <row r="7622" s="23" customFormat="1" ht="12.75"/>
    <row r="7623" s="23" customFormat="1" ht="12.75"/>
    <row r="7624" s="23" customFormat="1" ht="12.75"/>
    <row r="7625" s="23" customFormat="1" ht="12.75"/>
    <row r="7626" s="23" customFormat="1" ht="12.75"/>
    <row r="7627" s="23" customFormat="1" ht="12.75"/>
    <row r="7628" s="23" customFormat="1" ht="12.75"/>
    <row r="7629" s="23" customFormat="1" ht="12.75"/>
    <row r="7630" s="23" customFormat="1" ht="12.75"/>
    <row r="7631" s="23" customFormat="1" ht="12.75"/>
    <row r="7632" s="23" customFormat="1" ht="12.75"/>
    <row r="7633" s="23" customFormat="1" ht="12.75"/>
    <row r="7634" s="23" customFormat="1" ht="12.75"/>
    <row r="7635" s="23" customFormat="1" ht="12.75"/>
    <row r="7636" s="23" customFormat="1" ht="12.75"/>
    <row r="7637" s="23" customFormat="1" ht="12.75"/>
    <row r="7638" s="23" customFormat="1" ht="12.75"/>
    <row r="7639" s="23" customFormat="1" ht="12.75"/>
    <row r="7640" s="23" customFormat="1" ht="12.75"/>
    <row r="7641" s="23" customFormat="1" ht="12.75"/>
    <row r="7642" s="23" customFormat="1" ht="12.75"/>
    <row r="7643" s="23" customFormat="1" ht="12.75"/>
    <row r="7644" s="23" customFormat="1" ht="12.75"/>
    <row r="7645" s="23" customFormat="1" ht="12.75"/>
    <row r="7646" s="23" customFormat="1" ht="12.75"/>
    <row r="7647" s="23" customFormat="1" ht="12.75"/>
    <row r="7648" s="23" customFormat="1" ht="12.75"/>
    <row r="7649" s="23" customFormat="1" ht="12.75"/>
    <row r="7650" s="23" customFormat="1" ht="12.75"/>
    <row r="7651" s="23" customFormat="1" ht="12.75"/>
    <row r="7652" s="23" customFormat="1" ht="12.75"/>
    <row r="7653" s="23" customFormat="1" ht="12.75"/>
    <row r="7654" s="23" customFormat="1" ht="12.75"/>
    <row r="7655" s="23" customFormat="1" ht="12.75"/>
    <row r="7656" s="23" customFormat="1" ht="12.75"/>
    <row r="7657" s="23" customFormat="1" ht="12.75"/>
    <row r="7658" s="23" customFormat="1" ht="12.75"/>
    <row r="7659" s="23" customFormat="1" ht="12.75"/>
    <row r="7660" s="23" customFormat="1" ht="12.75"/>
    <row r="7661" s="23" customFormat="1" ht="12.75"/>
    <row r="7662" s="23" customFormat="1" ht="12.75"/>
    <row r="7663" s="23" customFormat="1" ht="12.75"/>
    <row r="7664" s="23" customFormat="1" ht="12.75"/>
    <row r="7665" s="23" customFormat="1" ht="12.75"/>
    <row r="7666" s="23" customFormat="1" ht="12.75"/>
    <row r="7667" s="23" customFormat="1" ht="12.75"/>
    <row r="7668" s="23" customFormat="1" ht="12.75"/>
    <row r="7669" s="23" customFormat="1" ht="12.75"/>
    <row r="7670" s="23" customFormat="1" ht="12.75"/>
    <row r="7671" s="23" customFormat="1" ht="12.75"/>
    <row r="7672" s="23" customFormat="1" ht="12.75"/>
    <row r="7673" s="23" customFormat="1" ht="12.75"/>
    <row r="7674" s="23" customFormat="1" ht="12.75"/>
    <row r="7675" s="23" customFormat="1" ht="12.75"/>
    <row r="7676" s="23" customFormat="1" ht="12.75"/>
    <row r="7677" s="23" customFormat="1" ht="12.75"/>
    <row r="7678" s="23" customFormat="1" ht="12.75"/>
    <row r="7679" s="23" customFormat="1" ht="12.75"/>
    <row r="7680" s="23" customFormat="1" ht="12.75"/>
    <row r="7681" s="23" customFormat="1" ht="12.75"/>
    <row r="7682" s="23" customFormat="1" ht="12.75"/>
    <row r="7683" s="23" customFormat="1" ht="12.75"/>
    <row r="7684" s="23" customFormat="1" ht="12.75"/>
    <row r="7685" s="23" customFormat="1" ht="12.75"/>
    <row r="7686" s="23" customFormat="1" ht="12.75"/>
    <row r="7687" s="23" customFormat="1" ht="12.75"/>
    <row r="7688" s="23" customFormat="1" ht="12.75"/>
    <row r="7689" s="23" customFormat="1" ht="12.75"/>
    <row r="7690" s="23" customFormat="1" ht="12.75"/>
    <row r="7691" s="23" customFormat="1" ht="12.75"/>
    <row r="7692" s="23" customFormat="1" ht="12.75"/>
    <row r="7693" s="23" customFormat="1" ht="12.75"/>
    <row r="7694" s="23" customFormat="1" ht="12.75"/>
    <row r="7695" s="23" customFormat="1" ht="12.75"/>
    <row r="7696" s="23" customFormat="1" ht="12.75"/>
    <row r="7697" s="23" customFormat="1" ht="12.75"/>
    <row r="7698" s="23" customFormat="1" ht="12.75"/>
    <row r="7699" s="23" customFormat="1" ht="12.75"/>
    <row r="7700" s="23" customFormat="1" ht="12.75"/>
    <row r="7701" s="23" customFormat="1" ht="12.75"/>
    <row r="7702" s="23" customFormat="1" ht="12.75"/>
    <row r="7703" s="23" customFormat="1" ht="12.75"/>
    <row r="7704" s="23" customFormat="1" ht="12.75"/>
    <row r="7705" s="23" customFormat="1" ht="12.75"/>
    <row r="7706" s="23" customFormat="1" ht="12.75"/>
    <row r="7707" s="23" customFormat="1" ht="12.75"/>
    <row r="7708" s="23" customFormat="1" ht="12.75"/>
    <row r="7709" s="23" customFormat="1" ht="12.75"/>
    <row r="7710" s="23" customFormat="1" ht="12.75"/>
    <row r="7711" s="23" customFormat="1" ht="12.75"/>
    <row r="7712" s="23" customFormat="1" ht="12.75"/>
    <row r="7713" s="23" customFormat="1" ht="12.75"/>
    <row r="7714" s="23" customFormat="1" ht="12.75"/>
    <row r="7715" s="23" customFormat="1" ht="12.75"/>
    <row r="7716" s="23" customFormat="1" ht="12.75"/>
    <row r="7717" s="23" customFormat="1" ht="12.75"/>
    <row r="7718" s="23" customFormat="1" ht="12.75"/>
    <row r="7719" s="23" customFormat="1" ht="12.75"/>
    <row r="7720" s="23" customFormat="1" ht="12.75"/>
    <row r="7721" s="23" customFormat="1" ht="12.75"/>
    <row r="7722" s="23" customFormat="1" ht="12.75"/>
    <row r="7723" s="23" customFormat="1" ht="12.75"/>
    <row r="7724" s="23" customFormat="1" ht="12.75"/>
    <row r="7725" s="23" customFormat="1" ht="12.75"/>
    <row r="7726" s="23" customFormat="1" ht="12.75"/>
    <row r="7727" s="23" customFormat="1" ht="12.75"/>
    <row r="7728" s="23" customFormat="1" ht="12.75"/>
    <row r="7729" s="23" customFormat="1" ht="12.75"/>
    <row r="7730" s="23" customFormat="1" ht="12.75"/>
    <row r="7731" s="23" customFormat="1" ht="12.75"/>
    <row r="7732" s="23" customFormat="1" ht="12.75"/>
    <row r="7733" s="23" customFormat="1" ht="12.75"/>
    <row r="7734" s="23" customFormat="1" ht="12.75"/>
    <row r="7735" s="23" customFormat="1" ht="12.75"/>
    <row r="7736" s="23" customFormat="1" ht="12.75"/>
    <row r="7737" s="23" customFormat="1" ht="12.75"/>
    <row r="7738" s="23" customFormat="1" ht="12.75"/>
    <row r="7739" s="23" customFormat="1" ht="12.75"/>
    <row r="7740" s="23" customFormat="1" ht="12.75"/>
    <row r="7741" s="23" customFormat="1" ht="12.75"/>
    <row r="7742" s="23" customFormat="1" ht="12.75"/>
    <row r="7743" s="23" customFormat="1" ht="12.75"/>
    <row r="7744" s="23" customFormat="1" ht="12.75"/>
    <row r="7745" s="23" customFormat="1" ht="12.75"/>
    <row r="7746" s="23" customFormat="1" ht="12.75"/>
    <row r="7747" s="23" customFormat="1" ht="12.75"/>
    <row r="7748" s="23" customFormat="1" ht="12.75"/>
    <row r="7749" s="23" customFormat="1" ht="12.75"/>
    <row r="7750" s="23" customFormat="1" ht="12.75"/>
    <row r="7751" s="23" customFormat="1" ht="12.75"/>
    <row r="7752" s="23" customFormat="1" ht="12.75"/>
    <row r="7753" s="23" customFormat="1" ht="12.75"/>
    <row r="7754" s="23" customFormat="1" ht="12.75"/>
    <row r="7755" s="23" customFormat="1" ht="12.75"/>
    <row r="7756" s="23" customFormat="1" ht="12.75"/>
    <row r="7757" s="23" customFormat="1" ht="12.75"/>
    <row r="7758" s="23" customFormat="1" ht="12.75"/>
    <row r="7759" s="23" customFormat="1" ht="12.75"/>
    <row r="7760" s="23" customFormat="1" ht="12.75"/>
    <row r="7761" s="23" customFormat="1" ht="12.75"/>
    <row r="7762" s="23" customFormat="1" ht="12.75"/>
    <row r="7763" s="23" customFormat="1" ht="12.75"/>
    <row r="7764" s="23" customFormat="1" ht="12.75"/>
    <row r="7765" s="23" customFormat="1" ht="12.75"/>
    <row r="7766" s="23" customFormat="1" ht="12.75"/>
    <row r="7767" s="23" customFormat="1" ht="12.75"/>
    <row r="7768" s="23" customFormat="1" ht="12.75"/>
    <row r="7769" s="23" customFormat="1" ht="12.75"/>
    <row r="7770" s="23" customFormat="1" ht="12.75"/>
    <row r="7771" s="23" customFormat="1" ht="12.75"/>
    <row r="7772" s="23" customFormat="1" ht="12.75"/>
    <row r="7773" s="23" customFormat="1" ht="12.75"/>
    <row r="7774" s="23" customFormat="1" ht="12.75"/>
    <row r="7775" s="23" customFormat="1" ht="12.75"/>
    <row r="7776" s="23" customFormat="1" ht="12.75"/>
    <row r="7777" s="23" customFormat="1" ht="12.75"/>
    <row r="7778" s="23" customFormat="1" ht="12.75"/>
    <row r="7779" s="23" customFormat="1" ht="12.75"/>
    <row r="7780" s="23" customFormat="1" ht="12.75"/>
    <row r="7781" s="23" customFormat="1" ht="12.75"/>
    <row r="7782" s="23" customFormat="1" ht="12.75"/>
    <row r="7783" s="23" customFormat="1" ht="12.75"/>
    <row r="7784" s="23" customFormat="1" ht="12.75"/>
    <row r="7785" s="23" customFormat="1" ht="12.75"/>
    <row r="7786" s="23" customFormat="1" ht="12.75"/>
    <row r="7787" s="23" customFormat="1" ht="12.75"/>
    <row r="7788" s="23" customFormat="1" ht="12.75"/>
    <row r="7789" s="23" customFormat="1" ht="12.75"/>
    <row r="7790" s="23" customFormat="1" ht="12.75"/>
    <row r="7791" s="23" customFormat="1" ht="12.75"/>
    <row r="7792" s="23" customFormat="1" ht="12.75"/>
    <row r="7793" s="23" customFormat="1" ht="12.75"/>
    <row r="7794" s="23" customFormat="1" ht="12.75"/>
    <row r="7795" s="23" customFormat="1" ht="12.75"/>
    <row r="7796" s="23" customFormat="1" ht="12.75"/>
    <row r="7797" s="23" customFormat="1" ht="12.75"/>
    <row r="7798" s="23" customFormat="1" ht="12.75"/>
    <row r="7799" s="23" customFormat="1" ht="12.75"/>
    <row r="7800" s="23" customFormat="1" ht="12.75"/>
    <row r="7801" s="23" customFormat="1" ht="12.75"/>
    <row r="7802" s="23" customFormat="1" ht="12.75"/>
    <row r="7803" s="23" customFormat="1" ht="12.75"/>
    <row r="7804" s="23" customFormat="1" ht="12.75"/>
    <row r="7805" s="23" customFormat="1" ht="12.75"/>
    <row r="7806" s="23" customFormat="1" ht="12.75"/>
    <row r="7807" s="23" customFormat="1" ht="12.75"/>
    <row r="7808" s="23" customFormat="1" ht="12.75"/>
    <row r="7809" s="23" customFormat="1" ht="12.75"/>
    <row r="7810" s="23" customFormat="1" ht="12.75"/>
    <row r="7811" s="23" customFormat="1" ht="12.75"/>
    <row r="7812" s="23" customFormat="1" ht="12.75"/>
    <row r="7813" s="23" customFormat="1" ht="12.75"/>
    <row r="7814" s="23" customFormat="1" ht="12.75"/>
    <row r="7815" s="23" customFormat="1" ht="12.75"/>
    <row r="7816" s="23" customFormat="1" ht="12.75"/>
    <row r="7817" s="23" customFormat="1" ht="12.75"/>
    <row r="7818" s="23" customFormat="1" ht="12.75"/>
    <row r="7819" s="23" customFormat="1" ht="12.75"/>
    <row r="7820" s="23" customFormat="1" ht="12.75"/>
    <row r="7821" s="23" customFormat="1" ht="12.75"/>
    <row r="7822" s="23" customFormat="1" ht="12.75"/>
    <row r="7823" s="23" customFormat="1" ht="12.75"/>
    <row r="7824" s="23" customFormat="1" ht="12.75"/>
    <row r="7825" s="23" customFormat="1" ht="12.75"/>
    <row r="7826" s="23" customFormat="1" ht="12.75"/>
    <row r="7827" s="23" customFormat="1" ht="12.75"/>
    <row r="7828" s="23" customFormat="1" ht="12.75"/>
    <row r="7829" s="23" customFormat="1" ht="12.75"/>
    <row r="7830" s="23" customFormat="1" ht="12.75"/>
    <row r="7831" s="23" customFormat="1" ht="12.75"/>
    <row r="7832" s="23" customFormat="1" ht="12.75"/>
    <row r="7833" s="23" customFormat="1" ht="12.75"/>
    <row r="7834" s="23" customFormat="1" ht="12.75"/>
    <row r="7835" s="23" customFormat="1" ht="12.75"/>
    <row r="7836" s="23" customFormat="1" ht="12.75"/>
    <row r="7837" s="23" customFormat="1" ht="12.75"/>
    <row r="7838" s="23" customFormat="1" ht="12.75"/>
    <row r="7839" s="23" customFormat="1" ht="12.75"/>
    <row r="7840" s="23" customFormat="1" ht="12.75"/>
    <row r="7841" s="23" customFormat="1" ht="12.75"/>
    <row r="7842" s="23" customFormat="1" ht="12.75"/>
    <row r="7843" s="23" customFormat="1" ht="12.75"/>
    <row r="7844" s="23" customFormat="1" ht="12.75"/>
    <row r="7845" s="23" customFormat="1" ht="12.75"/>
    <row r="7846" s="23" customFormat="1" ht="12.75"/>
    <row r="7847" s="23" customFormat="1" ht="12.75"/>
    <row r="7848" s="23" customFormat="1" ht="12.75"/>
    <row r="7849" s="23" customFormat="1" ht="12.75"/>
    <row r="7850" s="23" customFormat="1" ht="12.75"/>
    <row r="7851" s="23" customFormat="1" ht="12.75"/>
    <row r="7852" s="23" customFormat="1" ht="12.75"/>
    <row r="7853" s="23" customFormat="1" ht="12.75"/>
    <row r="7854" s="23" customFormat="1" ht="12.75"/>
    <row r="7855" s="23" customFormat="1" ht="12.75"/>
    <row r="7856" s="23" customFormat="1" ht="12.75"/>
    <row r="7857" s="23" customFormat="1" ht="12.75"/>
    <row r="7858" s="23" customFormat="1" ht="12.75"/>
    <row r="7859" s="23" customFormat="1" ht="12.75"/>
    <row r="7860" s="23" customFormat="1" ht="12.75"/>
    <row r="7861" s="23" customFormat="1" ht="12.75"/>
    <row r="7862" s="23" customFormat="1" ht="12.75"/>
    <row r="7863" s="23" customFormat="1" ht="12.75"/>
    <row r="7864" s="23" customFormat="1" ht="12.75"/>
    <row r="7865" s="23" customFormat="1" ht="12.75"/>
    <row r="7866" s="23" customFormat="1" ht="12.75"/>
    <row r="7867" s="23" customFormat="1" ht="12.75"/>
    <row r="7868" s="23" customFormat="1" ht="12.75"/>
    <row r="7869" s="23" customFormat="1" ht="12.75"/>
    <row r="7870" s="23" customFormat="1" ht="12.75"/>
    <row r="7871" s="23" customFormat="1" ht="12.75"/>
    <row r="7872" s="23" customFormat="1" ht="12.75"/>
    <row r="7873" s="23" customFormat="1" ht="12.75"/>
    <row r="7874" s="23" customFormat="1" ht="12.75"/>
    <row r="7875" s="23" customFormat="1" ht="12.75"/>
    <row r="7876" s="23" customFormat="1" ht="12.75"/>
    <row r="7877" s="23" customFormat="1" ht="12.75"/>
    <row r="7878" s="23" customFormat="1" ht="12.75"/>
    <row r="7879" s="23" customFormat="1" ht="12.75"/>
    <row r="7880" s="23" customFormat="1" ht="12.75"/>
    <row r="7881" s="23" customFormat="1" ht="12.75"/>
    <row r="7882" s="23" customFormat="1" ht="12.75"/>
    <row r="7883" s="23" customFormat="1" ht="12.75"/>
    <row r="7884" s="23" customFormat="1" ht="12.75"/>
    <row r="7885" s="23" customFormat="1" ht="12.75"/>
    <row r="7886" s="23" customFormat="1" ht="12.75"/>
    <row r="7887" s="23" customFormat="1" ht="12.75"/>
    <row r="7888" s="23" customFormat="1" ht="12.75"/>
    <row r="7889" s="23" customFormat="1" ht="12.75"/>
    <row r="7890" s="23" customFormat="1" ht="12.75"/>
    <row r="7891" s="23" customFormat="1" ht="12.75"/>
    <row r="7892" s="23" customFormat="1" ht="12.75"/>
    <row r="7893" s="23" customFormat="1" ht="12.75"/>
    <row r="7894" s="23" customFormat="1" ht="12.75"/>
    <row r="7895" s="23" customFormat="1" ht="12.75"/>
    <row r="7896" s="23" customFormat="1" ht="12.75"/>
    <row r="7897" s="23" customFormat="1" ht="12.75"/>
    <row r="7898" s="23" customFormat="1" ht="12.75"/>
    <row r="7899" s="23" customFormat="1" ht="12.75"/>
    <row r="7900" s="23" customFormat="1" ht="12.75"/>
    <row r="7901" s="23" customFormat="1" ht="12.75"/>
    <row r="7902" s="23" customFormat="1" ht="12.75"/>
    <row r="7903" s="23" customFormat="1" ht="12.75"/>
    <row r="7904" s="23" customFormat="1" ht="12.75"/>
    <row r="7905" s="23" customFormat="1" ht="12.75"/>
    <row r="7906" s="23" customFormat="1" ht="12.75"/>
    <row r="7907" s="23" customFormat="1" ht="12.75"/>
    <row r="7908" s="23" customFormat="1" ht="12.75"/>
    <row r="7909" s="23" customFormat="1" ht="12.75"/>
    <row r="7910" s="23" customFormat="1" ht="12.75"/>
    <row r="7911" s="23" customFormat="1" ht="12.75"/>
    <row r="7912" s="23" customFormat="1" ht="12.75"/>
    <row r="7913" s="23" customFormat="1" ht="12.75"/>
    <row r="7914" s="23" customFormat="1" ht="12.75"/>
    <row r="7915" s="23" customFormat="1" ht="12.75"/>
    <row r="7916" s="23" customFormat="1" ht="12.75"/>
    <row r="7917" s="23" customFormat="1" ht="12.75"/>
    <row r="7918" s="23" customFormat="1" ht="12.75"/>
    <row r="7919" s="23" customFormat="1" ht="12.75"/>
    <row r="7920" s="23" customFormat="1" ht="12.75"/>
    <row r="7921" s="23" customFormat="1" ht="12.75"/>
    <row r="7922" s="23" customFormat="1" ht="12.75"/>
    <row r="7923" s="23" customFormat="1" ht="12.75"/>
    <row r="7924" s="23" customFormat="1" ht="12.75"/>
    <row r="7925" s="23" customFormat="1" ht="12.75"/>
    <row r="7926" s="23" customFormat="1" ht="12.75"/>
    <row r="7927" s="23" customFormat="1" ht="12.75"/>
    <row r="7928" s="23" customFormat="1" ht="12.75"/>
    <row r="7929" s="23" customFormat="1" ht="12.75"/>
    <row r="7930" s="23" customFormat="1" ht="12.75"/>
    <row r="7931" s="23" customFormat="1" ht="12.75"/>
    <row r="7932" s="23" customFormat="1" ht="12.75"/>
    <row r="7933" s="23" customFormat="1" ht="12.75"/>
    <row r="7934" s="23" customFormat="1" ht="12.75"/>
    <row r="7935" s="23" customFormat="1" ht="12.75"/>
    <row r="7936" s="23" customFormat="1" ht="12.75"/>
    <row r="7937" s="23" customFormat="1" ht="12.75"/>
    <row r="7938" s="23" customFormat="1" ht="12.75"/>
    <row r="7939" s="23" customFormat="1" ht="12.75"/>
    <row r="7940" s="23" customFormat="1" ht="12.75"/>
    <row r="7941" s="23" customFormat="1" ht="12.75"/>
    <row r="7942" s="23" customFormat="1" ht="12.75"/>
    <row r="7943" s="23" customFormat="1" ht="12.75"/>
    <row r="7944" s="23" customFormat="1" ht="12.75"/>
    <row r="7945" s="23" customFormat="1" ht="12.75"/>
    <row r="7946" s="23" customFormat="1" ht="12.75"/>
    <row r="7947" s="23" customFormat="1" ht="12.75"/>
    <row r="7948" s="23" customFormat="1" ht="12.75"/>
    <row r="7949" s="23" customFormat="1" ht="12.75"/>
    <row r="7950" s="23" customFormat="1" ht="12.75"/>
    <row r="7951" s="23" customFormat="1" ht="12.75"/>
    <row r="7952" s="23" customFormat="1" ht="12.75"/>
    <row r="7953" s="23" customFormat="1" ht="12.75"/>
    <row r="7954" s="23" customFormat="1" ht="12.75"/>
    <row r="7955" s="23" customFormat="1" ht="12.75"/>
    <row r="7956" s="23" customFormat="1" ht="12.75"/>
    <row r="7957" s="23" customFormat="1" ht="12.75"/>
    <row r="7958" s="23" customFormat="1" ht="12.75"/>
    <row r="7959" s="23" customFormat="1" ht="12.75"/>
    <row r="7960" s="23" customFormat="1" ht="12.75"/>
    <row r="7961" s="23" customFormat="1" ht="12.75"/>
    <row r="7962" s="23" customFormat="1" ht="12.75"/>
    <row r="7963" s="23" customFormat="1" ht="12.75"/>
    <row r="7964" s="23" customFormat="1" ht="12.75"/>
    <row r="7965" s="23" customFormat="1" ht="12.75"/>
    <row r="7966" s="23" customFormat="1" ht="12.75"/>
    <row r="7967" s="23" customFormat="1" ht="12.75"/>
    <row r="7968" s="23" customFormat="1" ht="12.75"/>
    <row r="7969" s="23" customFormat="1" ht="12.75"/>
    <row r="7970" s="23" customFormat="1" ht="12.75"/>
    <row r="7971" s="23" customFormat="1" ht="12.75"/>
    <row r="7972" s="23" customFormat="1" ht="12.75"/>
    <row r="7973" s="23" customFormat="1" ht="12.75"/>
    <row r="7974" s="23" customFormat="1" ht="12.75"/>
    <row r="7975" s="23" customFormat="1" ht="12.75"/>
    <row r="7976" s="23" customFormat="1" ht="12.75"/>
    <row r="7977" s="23" customFormat="1" ht="12.75"/>
    <row r="7978" s="23" customFormat="1" ht="12.75"/>
    <row r="7979" s="23" customFormat="1" ht="12.75"/>
    <row r="7980" s="23" customFormat="1" ht="12.75"/>
    <row r="7981" s="23" customFormat="1" ht="12.75"/>
    <row r="7982" s="23" customFormat="1" ht="12.75"/>
    <row r="7983" s="23" customFormat="1" ht="12.75"/>
    <row r="7984" s="23" customFormat="1" ht="12.75"/>
    <row r="7985" s="23" customFormat="1" ht="12.75"/>
    <row r="7986" s="23" customFormat="1" ht="12.75"/>
    <row r="7987" s="23" customFormat="1" ht="12.75"/>
    <row r="7988" s="23" customFormat="1" ht="12.75"/>
    <row r="7989" s="23" customFormat="1" ht="12.75"/>
    <row r="7990" s="23" customFormat="1" ht="12.75"/>
    <row r="7991" s="23" customFormat="1" ht="12.75"/>
    <row r="7992" s="23" customFormat="1" ht="12.75"/>
    <row r="7993" s="23" customFormat="1" ht="12.75"/>
    <row r="7994" s="23" customFormat="1" ht="12.75"/>
    <row r="7995" s="23" customFormat="1" ht="12.75"/>
    <row r="7996" s="23" customFormat="1" ht="12.75"/>
    <row r="7997" s="23" customFormat="1" ht="12.75"/>
    <row r="7998" s="23" customFormat="1" ht="12.75"/>
    <row r="7999" s="23" customFormat="1" ht="12.75"/>
    <row r="8000" s="23" customFormat="1" ht="12.75"/>
    <row r="8001" s="23" customFormat="1" ht="12.75"/>
    <row r="8002" s="23" customFormat="1" ht="12.75"/>
    <row r="8003" s="23" customFormat="1" ht="12.75"/>
    <row r="8004" s="23" customFormat="1" ht="12.75"/>
    <row r="8005" s="23" customFormat="1" ht="12.75"/>
    <row r="8006" s="23" customFormat="1" ht="12.75"/>
    <row r="8007" s="23" customFormat="1" ht="12.75"/>
    <row r="8008" s="23" customFormat="1" ht="12.75"/>
    <row r="8009" s="23" customFormat="1" ht="12.75"/>
    <row r="8010" s="23" customFormat="1" ht="12.75"/>
    <row r="8011" s="23" customFormat="1" ht="12.75"/>
    <row r="8012" s="23" customFormat="1" ht="12.75"/>
    <row r="8013" s="23" customFormat="1" ht="12.75"/>
    <row r="8014" s="23" customFormat="1" ht="12.75"/>
    <row r="8015" s="23" customFormat="1" ht="12.75"/>
    <row r="8016" s="23" customFormat="1" ht="12.75"/>
    <row r="8017" s="23" customFormat="1" ht="12.75"/>
    <row r="8018" s="23" customFormat="1" ht="12.75"/>
    <row r="8019" s="23" customFormat="1" ht="12.75"/>
    <row r="8020" s="23" customFormat="1" ht="12.75"/>
    <row r="8021" s="23" customFormat="1" ht="12.75"/>
    <row r="8022" s="23" customFormat="1" ht="12.75"/>
    <row r="8023" s="23" customFormat="1" ht="12.75"/>
    <row r="8024" s="23" customFormat="1" ht="12.75"/>
    <row r="8025" s="23" customFormat="1" ht="12.75"/>
    <row r="8026" s="23" customFormat="1" ht="12.75"/>
    <row r="8027" s="23" customFormat="1" ht="12.75"/>
    <row r="8028" s="23" customFormat="1" ht="12.75"/>
    <row r="8029" s="23" customFormat="1" ht="12.75"/>
    <row r="8030" s="23" customFormat="1" ht="12.75"/>
    <row r="8031" s="23" customFormat="1" ht="12.75"/>
    <row r="8032" s="23" customFormat="1" ht="12.75"/>
    <row r="8033" s="23" customFormat="1" ht="12.75"/>
    <row r="8034" s="23" customFormat="1" ht="12.75"/>
    <row r="8035" s="23" customFormat="1" ht="12.75"/>
    <row r="8036" s="23" customFormat="1" ht="12.75"/>
    <row r="8037" s="23" customFormat="1" ht="12.75"/>
    <row r="8038" s="23" customFormat="1" ht="12.75"/>
    <row r="8039" s="23" customFormat="1" ht="12.75"/>
    <row r="8040" s="23" customFormat="1" ht="12.75"/>
    <row r="8041" s="23" customFormat="1" ht="12.75"/>
    <row r="8042" s="23" customFormat="1" ht="12.75"/>
    <row r="8043" s="23" customFormat="1" ht="12.75"/>
    <row r="8044" s="23" customFormat="1" ht="12.75"/>
    <row r="8045" s="23" customFormat="1" ht="12.75"/>
    <row r="8046" s="23" customFormat="1" ht="12.75"/>
    <row r="8047" s="23" customFormat="1" ht="12.75"/>
    <row r="8048" s="23" customFormat="1" ht="12.75"/>
    <row r="8049" s="23" customFormat="1" ht="12.75"/>
    <row r="8050" s="23" customFormat="1" ht="12.75"/>
    <row r="8051" s="23" customFormat="1" ht="12.75"/>
    <row r="8052" s="23" customFormat="1" ht="12.75"/>
    <row r="8053" s="23" customFormat="1" ht="12.75"/>
    <row r="8054" s="23" customFormat="1" ht="12.75"/>
    <row r="8055" s="23" customFormat="1" ht="12.75"/>
    <row r="8056" s="23" customFormat="1" ht="12.75"/>
    <row r="8057" s="23" customFormat="1" ht="12.75"/>
    <row r="8058" s="23" customFormat="1" ht="12.75"/>
    <row r="8059" s="23" customFormat="1" ht="12.75"/>
    <row r="8060" s="23" customFormat="1" ht="12.75"/>
    <row r="8061" s="23" customFormat="1" ht="12.75"/>
    <row r="8062" s="23" customFormat="1" ht="12.75"/>
    <row r="8063" s="23" customFormat="1" ht="12.75"/>
    <row r="8064" s="23" customFormat="1" ht="12.75"/>
    <row r="8065" s="23" customFormat="1" ht="12.75"/>
    <row r="8066" s="23" customFormat="1" ht="12.75"/>
    <row r="8067" s="23" customFormat="1" ht="12.75"/>
    <row r="8068" s="23" customFormat="1" ht="12.75"/>
    <row r="8069" s="23" customFormat="1" ht="12.75"/>
    <row r="8070" s="23" customFormat="1" ht="12.75"/>
    <row r="8071" s="23" customFormat="1" ht="12.75"/>
    <row r="8072" s="23" customFormat="1" ht="12.75"/>
    <row r="8073" s="23" customFormat="1" ht="12.75"/>
    <row r="8074" s="23" customFormat="1" ht="12.75"/>
    <row r="8075" s="23" customFormat="1" ht="12.75"/>
    <row r="8076" s="23" customFormat="1" ht="12.75"/>
    <row r="8077" s="23" customFormat="1" ht="12.75"/>
    <row r="8078" s="23" customFormat="1" ht="12.75"/>
    <row r="8079" s="23" customFormat="1" ht="12.75"/>
    <row r="8080" s="23" customFormat="1" ht="12.75"/>
    <row r="8081" s="23" customFormat="1" ht="12.75"/>
    <row r="8082" s="23" customFormat="1" ht="12.75"/>
    <row r="8083" s="23" customFormat="1" ht="12.75"/>
    <row r="8084" s="23" customFormat="1" ht="12.75"/>
    <row r="8085" s="23" customFormat="1" ht="12.75"/>
    <row r="8086" s="23" customFormat="1" ht="12.75"/>
    <row r="8087" s="23" customFormat="1" ht="12.75"/>
    <row r="8088" s="23" customFormat="1" ht="12.75"/>
    <row r="8089" s="23" customFormat="1" ht="12.75"/>
    <row r="8090" s="23" customFormat="1" ht="12.75"/>
    <row r="8091" s="23" customFormat="1" ht="12.75"/>
    <row r="8092" s="23" customFormat="1" ht="12.75"/>
    <row r="8093" s="23" customFormat="1" ht="12.75"/>
    <row r="8094" s="23" customFormat="1" ht="12.75"/>
    <row r="8095" s="23" customFormat="1" ht="12.75"/>
    <row r="8096" s="23" customFormat="1" ht="12.75"/>
    <row r="8097" s="23" customFormat="1" ht="12.75"/>
    <row r="8098" s="23" customFormat="1" ht="12.75"/>
    <row r="8099" s="23" customFormat="1" ht="12.75"/>
    <row r="8100" s="23" customFormat="1" ht="12.75"/>
    <row r="8101" s="23" customFormat="1" ht="12.75"/>
    <row r="8102" s="23" customFormat="1" ht="12.75"/>
    <row r="8103" s="23" customFormat="1" ht="12.75"/>
    <row r="8104" s="23" customFormat="1" ht="12.75"/>
    <row r="8105" s="23" customFormat="1" ht="12.75"/>
    <row r="8106" s="23" customFormat="1" ht="12.75"/>
    <row r="8107" s="23" customFormat="1" ht="12.75"/>
    <row r="8108" s="23" customFormat="1" ht="12.75"/>
    <row r="8109" s="23" customFormat="1" ht="12.75"/>
    <row r="8110" s="23" customFormat="1" ht="12.75"/>
    <row r="8111" s="23" customFormat="1" ht="12.75"/>
    <row r="8112" s="23" customFormat="1" ht="12.75"/>
    <row r="8113" s="23" customFormat="1" ht="12.75"/>
    <row r="8114" s="23" customFormat="1" ht="12.75"/>
    <row r="8115" s="23" customFormat="1" ht="12.75"/>
    <row r="8116" s="23" customFormat="1" ht="12.75"/>
    <row r="8117" s="23" customFormat="1" ht="12.75"/>
    <row r="8118" s="23" customFormat="1" ht="12.75"/>
    <row r="8119" s="23" customFormat="1" ht="12.75"/>
    <row r="8120" s="23" customFormat="1" ht="12.75"/>
    <row r="8121" s="23" customFormat="1" ht="12.75"/>
    <row r="8122" s="23" customFormat="1" ht="12.75"/>
    <row r="8123" s="23" customFormat="1" ht="12.75"/>
    <row r="8124" s="23" customFormat="1" ht="12.75"/>
    <row r="8125" s="23" customFormat="1" ht="12.75"/>
    <row r="8126" s="23" customFormat="1" ht="12.75"/>
    <row r="8127" s="23" customFormat="1" ht="12.75"/>
    <row r="8128" s="23" customFormat="1" ht="12.75"/>
    <row r="8129" s="23" customFormat="1" ht="12.75"/>
    <row r="8130" s="23" customFormat="1" ht="12.75"/>
    <row r="8131" s="23" customFormat="1" ht="12.75"/>
    <row r="8132" s="23" customFormat="1" ht="12.75"/>
    <row r="8133" s="23" customFormat="1" ht="12.75"/>
    <row r="8134" s="23" customFormat="1" ht="12.75"/>
    <row r="8135" s="23" customFormat="1" ht="12.75"/>
    <row r="8136" s="23" customFormat="1" ht="12.75"/>
    <row r="8137" s="23" customFormat="1" ht="12.75"/>
    <row r="8138" s="23" customFormat="1" ht="12.75"/>
    <row r="8139" s="23" customFormat="1" ht="12.75"/>
    <row r="8140" s="23" customFormat="1" ht="12.75"/>
    <row r="8141" s="23" customFormat="1" ht="12.75"/>
    <row r="8142" s="23" customFormat="1" ht="12.75"/>
    <row r="8143" s="23" customFormat="1" ht="12.75"/>
    <row r="8144" s="23" customFormat="1" ht="12.75"/>
    <row r="8145" s="23" customFormat="1" ht="12.75"/>
    <row r="8146" s="23" customFormat="1" ht="12.75"/>
    <row r="8147" s="23" customFormat="1" ht="12.75"/>
    <row r="8148" s="23" customFormat="1" ht="12.75"/>
    <row r="8149" s="23" customFormat="1" ht="12.75"/>
    <row r="8150" s="23" customFormat="1" ht="12.75"/>
    <row r="8151" s="23" customFormat="1" ht="12.75"/>
    <row r="8152" s="23" customFormat="1" ht="12.75"/>
    <row r="8153" s="23" customFormat="1" ht="12.75"/>
    <row r="8154" s="23" customFormat="1" ht="12.75"/>
    <row r="8155" s="23" customFormat="1" ht="12.75"/>
    <row r="8156" s="23" customFormat="1" ht="12.75"/>
    <row r="8157" s="23" customFormat="1" ht="12.75"/>
    <row r="8158" s="23" customFormat="1" ht="12.75"/>
    <row r="8159" s="23" customFormat="1" ht="12.75"/>
    <row r="8160" s="23" customFormat="1" ht="12.75"/>
    <row r="8161" s="23" customFormat="1" ht="12.75"/>
    <row r="8162" s="23" customFormat="1" ht="12.75"/>
    <row r="8163" s="23" customFormat="1" ht="12.75"/>
    <row r="8164" s="23" customFormat="1" ht="12.75"/>
    <row r="8165" s="23" customFormat="1" ht="12.75"/>
    <row r="8166" s="23" customFormat="1" ht="12.75"/>
    <row r="8167" s="23" customFormat="1" ht="12.75"/>
    <row r="8168" s="23" customFormat="1" ht="12.75"/>
    <row r="8169" s="23" customFormat="1" ht="12.75"/>
    <row r="8170" s="23" customFormat="1" ht="12.75"/>
    <row r="8171" s="23" customFormat="1" ht="12.75"/>
    <row r="8172" s="23" customFormat="1" ht="12.75"/>
    <row r="8173" s="23" customFormat="1" ht="12.75"/>
    <row r="8174" s="23" customFormat="1" ht="12.75"/>
    <row r="8175" s="23" customFormat="1" ht="12.75"/>
    <row r="8176" s="23" customFormat="1" ht="12.75"/>
    <row r="8177" s="23" customFormat="1" ht="12.75"/>
    <row r="8178" s="23" customFormat="1" ht="12.75"/>
    <row r="8179" s="23" customFormat="1" ht="12.75"/>
    <row r="8180" s="23" customFormat="1" ht="12.75"/>
    <row r="8181" s="23" customFormat="1" ht="12.75"/>
    <row r="8182" s="23" customFormat="1" ht="12.75"/>
    <row r="8183" s="23" customFormat="1" ht="12.75"/>
    <row r="8184" s="23" customFormat="1" ht="12.75"/>
    <row r="8185" s="23" customFormat="1" ht="12.75"/>
    <row r="8186" s="23" customFormat="1" ht="12.75"/>
    <row r="8187" s="23" customFormat="1" ht="12.75"/>
    <row r="8188" s="23" customFormat="1" ht="12.75"/>
    <row r="8189" s="23" customFormat="1" ht="12.75"/>
    <row r="8190" s="23" customFormat="1" ht="12.75"/>
    <row r="8191" s="23" customFormat="1" ht="12.75"/>
    <row r="8192" s="23" customFormat="1" ht="12.75"/>
    <row r="8193" s="23" customFormat="1" ht="12.75"/>
    <row r="8194" s="23" customFormat="1" ht="12.75"/>
    <row r="8195" s="23" customFormat="1" ht="12.75"/>
    <row r="8196" s="23" customFormat="1" ht="12.75"/>
    <row r="8197" s="23" customFormat="1" ht="12.75"/>
    <row r="8198" s="23" customFormat="1" ht="12.75"/>
    <row r="8199" s="23" customFormat="1" ht="12.75"/>
    <row r="8200" s="23" customFormat="1" ht="12.75"/>
    <row r="8201" s="23" customFormat="1" ht="12.75"/>
    <row r="8202" s="23" customFormat="1" ht="12.75"/>
    <row r="8203" s="23" customFormat="1" ht="12.75"/>
    <row r="8204" s="23" customFormat="1" ht="12.75"/>
    <row r="8205" s="23" customFormat="1" ht="12.75"/>
    <row r="8206" s="23" customFormat="1" ht="12.75"/>
    <row r="8207" s="23" customFormat="1" ht="12.75"/>
    <row r="8208" s="23" customFormat="1" ht="12.75"/>
    <row r="8209" s="23" customFormat="1" ht="12.75"/>
    <row r="8210" s="23" customFormat="1" ht="12.75"/>
    <row r="8211" s="23" customFormat="1" ht="12.75"/>
    <row r="8212" s="23" customFormat="1" ht="12.75"/>
    <row r="8213" s="23" customFormat="1" ht="12.75"/>
    <row r="8214" s="23" customFormat="1" ht="12.75"/>
    <row r="8215" s="23" customFormat="1" ht="12.75"/>
    <row r="8216" s="23" customFormat="1" ht="12.75"/>
    <row r="8217" s="23" customFormat="1" ht="12.75"/>
    <row r="8218" s="23" customFormat="1" ht="12.75"/>
    <row r="8219" s="23" customFormat="1" ht="12.75"/>
    <row r="8220" s="23" customFormat="1" ht="12.75"/>
    <row r="8221" s="23" customFormat="1" ht="12.75"/>
    <row r="8222" s="23" customFormat="1" ht="12.75"/>
    <row r="8223" s="23" customFormat="1" ht="12.75"/>
    <row r="8224" s="23" customFormat="1" ht="12.75"/>
    <row r="8225" s="23" customFormat="1" ht="12.75"/>
    <row r="8226" s="23" customFormat="1" ht="12.75"/>
    <row r="8227" s="23" customFormat="1" ht="12.75"/>
    <row r="8228" s="23" customFormat="1" ht="12.75"/>
    <row r="8229" s="23" customFormat="1" ht="12.75"/>
    <row r="8230" s="23" customFormat="1" ht="12.75"/>
    <row r="8231" s="23" customFormat="1" ht="12.75"/>
    <row r="8232" s="23" customFormat="1" ht="12.75"/>
    <row r="8233" s="23" customFormat="1" ht="12.75"/>
    <row r="8234" s="23" customFormat="1" ht="12.75"/>
    <row r="8235" s="23" customFormat="1" ht="12.75"/>
    <row r="8236" s="23" customFormat="1" ht="12.75"/>
    <row r="8237" s="23" customFormat="1" ht="12.75"/>
    <row r="8238" s="23" customFormat="1" ht="12.75"/>
    <row r="8239" s="23" customFormat="1" ht="12.75"/>
    <row r="8240" s="23" customFormat="1" ht="12.75"/>
    <row r="8241" s="23" customFormat="1" ht="12.75"/>
    <row r="8242" s="23" customFormat="1" ht="12.75"/>
    <row r="8243" s="23" customFormat="1" ht="12.75"/>
    <row r="8244" s="23" customFormat="1" ht="12.75"/>
    <row r="8245" s="23" customFormat="1" ht="12.75"/>
    <row r="8246" s="23" customFormat="1" ht="12.75"/>
    <row r="8247" s="23" customFormat="1" ht="12.75"/>
    <row r="8248" s="23" customFormat="1" ht="12.75"/>
    <row r="8249" s="23" customFormat="1" ht="12.75"/>
    <row r="8250" s="23" customFormat="1" ht="12.75"/>
    <row r="8251" s="23" customFormat="1" ht="12.75"/>
    <row r="8252" s="23" customFormat="1" ht="12.75"/>
    <row r="8253" s="23" customFormat="1" ht="12.75"/>
    <row r="8254" s="23" customFormat="1" ht="12.75"/>
    <row r="8255" s="23" customFormat="1" ht="12.75"/>
    <row r="8256" s="23" customFormat="1" ht="12.75"/>
    <row r="8257" s="23" customFormat="1" ht="12.75"/>
    <row r="8258" s="23" customFormat="1" ht="12.75"/>
    <row r="8259" s="23" customFormat="1" ht="12.75"/>
    <row r="8260" s="23" customFormat="1" ht="12.75"/>
    <row r="8261" s="23" customFormat="1" ht="12.75"/>
    <row r="8262" s="23" customFormat="1" ht="12.75"/>
    <row r="8263" s="23" customFormat="1" ht="12.75"/>
    <row r="8264" s="23" customFormat="1" ht="12.75"/>
    <row r="8265" s="23" customFormat="1" ht="12.75"/>
    <row r="8266" s="23" customFormat="1" ht="12.75"/>
    <row r="8267" s="23" customFormat="1" ht="12.75"/>
    <row r="8268" s="23" customFormat="1" ht="12.75"/>
    <row r="8269" s="23" customFormat="1" ht="12.75"/>
    <row r="8270" s="23" customFormat="1" ht="12.75"/>
    <row r="8271" s="23" customFormat="1" ht="12.75"/>
    <row r="8272" s="23" customFormat="1" ht="12.75"/>
    <row r="8273" s="23" customFormat="1" ht="12.75"/>
    <row r="8274" s="23" customFormat="1" ht="12.75"/>
    <row r="8275" s="23" customFormat="1" ht="12.75"/>
    <row r="8276" s="23" customFormat="1" ht="12.75"/>
    <row r="8277" s="23" customFormat="1" ht="12.75"/>
    <row r="8278" s="23" customFormat="1" ht="12.75"/>
    <row r="8279" s="23" customFormat="1" ht="12.75"/>
    <row r="8280" s="23" customFormat="1" ht="12.75"/>
    <row r="8281" s="23" customFormat="1" ht="12.75"/>
    <row r="8282" s="23" customFormat="1" ht="12.75"/>
    <row r="8283" s="23" customFormat="1" ht="12.75"/>
    <row r="8284" s="23" customFormat="1" ht="12.75"/>
    <row r="8285" s="23" customFormat="1" ht="12.75"/>
    <row r="8286" s="23" customFormat="1" ht="12.75"/>
    <row r="8287" s="23" customFormat="1" ht="12.75"/>
    <row r="8288" s="23" customFormat="1" ht="12.75"/>
    <row r="8289" s="23" customFormat="1" ht="12.75"/>
    <row r="8290" s="23" customFormat="1" ht="12.75"/>
    <row r="8291" s="23" customFormat="1" ht="12.75"/>
    <row r="8292" s="23" customFormat="1" ht="12.75"/>
    <row r="8293" s="23" customFormat="1" ht="12.75"/>
    <row r="8294" s="23" customFormat="1" ht="12.75"/>
    <row r="8295" s="23" customFormat="1" ht="12.75"/>
    <row r="8296" s="23" customFormat="1" ht="12.75"/>
    <row r="8297" s="23" customFormat="1" ht="12.75"/>
    <row r="8298" s="23" customFormat="1" ht="12.75"/>
    <row r="8299" s="23" customFormat="1" ht="12.75"/>
    <row r="8300" s="23" customFormat="1" ht="12.75"/>
    <row r="8301" s="23" customFormat="1" ht="12.75"/>
    <row r="8302" s="23" customFormat="1" ht="12.75"/>
    <row r="8303" s="23" customFormat="1" ht="12.75"/>
    <row r="8304" s="23" customFormat="1" ht="12.75"/>
    <row r="8305" s="23" customFormat="1" ht="12.75"/>
    <row r="8306" s="23" customFormat="1" ht="12.75"/>
    <row r="8307" s="23" customFormat="1" ht="12.75"/>
    <row r="8308" s="23" customFormat="1" ht="12.75"/>
    <row r="8309" s="23" customFormat="1" ht="12.75"/>
    <row r="8310" s="23" customFormat="1" ht="12.75"/>
    <row r="8311" s="23" customFormat="1" ht="12.75"/>
    <row r="8312" s="23" customFormat="1" ht="12.75"/>
    <row r="8313" s="23" customFormat="1" ht="12.75"/>
    <row r="8314" s="23" customFormat="1" ht="12.75"/>
    <row r="8315" s="23" customFormat="1" ht="12.75"/>
    <row r="8316" s="23" customFormat="1" ht="12.75"/>
    <row r="8317" s="23" customFormat="1" ht="12.75"/>
    <row r="8318" s="23" customFormat="1" ht="12.75"/>
    <row r="8319" s="23" customFormat="1" ht="12.75"/>
    <row r="8320" s="23" customFormat="1" ht="12.75"/>
    <row r="8321" s="23" customFormat="1" ht="12.75"/>
    <row r="8322" s="23" customFormat="1" ht="12.75"/>
    <row r="8323" s="23" customFormat="1" ht="12.75"/>
    <row r="8324" s="23" customFormat="1" ht="12.75"/>
    <row r="8325" s="23" customFormat="1" ht="12.75"/>
    <row r="8326" s="23" customFormat="1" ht="12.75"/>
    <row r="8327" s="23" customFormat="1" ht="12.75"/>
    <row r="8328" s="23" customFormat="1" ht="12.75"/>
    <row r="8329" s="23" customFormat="1" ht="12.75"/>
    <row r="8330" s="23" customFormat="1" ht="12.75"/>
    <row r="8331" s="23" customFormat="1" ht="12.75"/>
    <row r="8332" s="23" customFormat="1" ht="12.75"/>
    <row r="8333" s="23" customFormat="1" ht="12.75"/>
    <row r="8334" s="23" customFormat="1" ht="12.75"/>
    <row r="8335" s="23" customFormat="1" ht="12.75"/>
    <row r="8336" s="23" customFormat="1" ht="12.75"/>
    <row r="8337" s="23" customFormat="1" ht="12.75"/>
    <row r="8338" s="23" customFormat="1" ht="12.75"/>
    <row r="8339" s="23" customFormat="1" ht="12.75"/>
    <row r="8340" s="23" customFormat="1" ht="12.75"/>
    <row r="8341" s="23" customFormat="1" ht="12.75"/>
    <row r="8342" s="23" customFormat="1" ht="12.75"/>
    <row r="8343" s="23" customFormat="1" ht="12.75"/>
    <row r="8344" s="23" customFormat="1" ht="12.75"/>
    <row r="8345" s="23" customFormat="1" ht="12.75"/>
    <row r="8346" s="23" customFormat="1" ht="12.75"/>
    <row r="8347" s="23" customFormat="1" ht="12.75"/>
    <row r="8348" s="23" customFormat="1" ht="12.75"/>
    <row r="8349" s="23" customFormat="1" ht="12.75"/>
    <row r="8350" s="23" customFormat="1" ht="12.75"/>
    <row r="8351" s="23" customFormat="1" ht="12.75"/>
    <row r="8352" s="23" customFormat="1" ht="12.75"/>
    <row r="8353" s="23" customFormat="1" ht="12.75"/>
    <row r="8354" s="23" customFormat="1" ht="12.75"/>
    <row r="8355" s="23" customFormat="1" ht="12.75"/>
    <row r="8356" s="23" customFormat="1" ht="12.75"/>
    <row r="8357" s="23" customFormat="1" ht="12.75"/>
    <row r="8358" s="23" customFormat="1" ht="12.75"/>
    <row r="8359" s="23" customFormat="1" ht="12.75"/>
    <row r="8360" s="23" customFormat="1" ht="12.75"/>
    <row r="8361" s="23" customFormat="1" ht="12.75"/>
    <row r="8362" s="23" customFormat="1" ht="12.75"/>
    <row r="8363" s="23" customFormat="1" ht="12.75"/>
    <row r="8364" s="23" customFormat="1" ht="12.75"/>
    <row r="8365" s="23" customFormat="1" ht="12.75"/>
    <row r="8366" s="23" customFormat="1" ht="12.75"/>
    <row r="8367" s="23" customFormat="1" ht="12.75"/>
    <row r="8368" s="23" customFormat="1" ht="12.75"/>
    <row r="8369" s="23" customFormat="1" ht="12.75"/>
    <row r="8370" s="23" customFormat="1" ht="12.75"/>
    <row r="8371" s="23" customFormat="1" ht="12.75"/>
    <row r="8372" s="23" customFormat="1" ht="12.75"/>
    <row r="8373" s="23" customFormat="1" ht="12.75"/>
    <row r="8374" s="23" customFormat="1" ht="12.75"/>
    <row r="8375" s="23" customFormat="1" ht="12.75"/>
    <row r="8376" s="23" customFormat="1" ht="12.75"/>
    <row r="8377" s="23" customFormat="1" ht="12.75"/>
    <row r="8378" s="23" customFormat="1" ht="12.75"/>
    <row r="8379" s="23" customFormat="1" ht="12.75"/>
    <row r="8380" s="23" customFormat="1" ht="12.75"/>
    <row r="8381" s="23" customFormat="1" ht="12.75"/>
    <row r="8382" s="23" customFormat="1" ht="12.75"/>
    <row r="8383" s="23" customFormat="1" ht="12.75"/>
    <row r="8384" s="23" customFormat="1" ht="12.75"/>
    <row r="8385" s="23" customFormat="1" ht="12.75"/>
    <row r="8386" s="23" customFormat="1" ht="12.75"/>
    <row r="8387" s="23" customFormat="1" ht="12.75"/>
    <row r="8388" s="23" customFormat="1" ht="12.75"/>
    <row r="8389" s="23" customFormat="1" ht="12.75"/>
    <row r="8390" s="23" customFormat="1" ht="12.75"/>
    <row r="8391" s="23" customFormat="1" ht="12.75"/>
    <row r="8392" s="23" customFormat="1" ht="12.75"/>
    <row r="8393" s="23" customFormat="1" ht="12.75"/>
    <row r="8394" s="23" customFormat="1" ht="12.75"/>
    <row r="8395" s="23" customFormat="1" ht="12.75"/>
    <row r="8396" s="23" customFormat="1" ht="12.75"/>
    <row r="8397" s="23" customFormat="1" ht="12.75"/>
    <row r="8398" s="23" customFormat="1" ht="12.75"/>
    <row r="8399" s="23" customFormat="1" ht="12.75"/>
    <row r="8400" s="23" customFormat="1" ht="12.75"/>
    <row r="8401" s="23" customFormat="1" ht="12.75"/>
    <row r="8402" s="23" customFormat="1" ht="12.75"/>
    <row r="8403" s="23" customFormat="1" ht="12.75"/>
    <row r="8404" s="23" customFormat="1" ht="12.75"/>
    <row r="8405" s="23" customFormat="1" ht="12.75"/>
    <row r="8406" s="23" customFormat="1" ht="12.75"/>
    <row r="8407" s="23" customFormat="1" ht="12.75"/>
    <row r="8408" s="23" customFormat="1" ht="12.75"/>
    <row r="8409" s="23" customFormat="1" ht="12.75"/>
    <row r="8410" s="23" customFormat="1" ht="12.75"/>
    <row r="8411" s="23" customFormat="1" ht="12.75"/>
    <row r="8412" s="23" customFormat="1" ht="12.75"/>
    <row r="8413" s="23" customFormat="1" ht="12.75"/>
    <row r="8414" s="23" customFormat="1" ht="12.75"/>
    <row r="8415" s="23" customFormat="1" ht="12.75"/>
    <row r="8416" s="23" customFormat="1" ht="12.75"/>
    <row r="8417" s="23" customFormat="1" ht="12.75"/>
    <row r="8418" s="23" customFormat="1" ht="12.75"/>
    <row r="8419" s="23" customFormat="1" ht="12.75"/>
    <row r="8420" s="23" customFormat="1" ht="12.75"/>
    <row r="8421" s="23" customFormat="1" ht="12.75"/>
    <row r="8422" s="23" customFormat="1" ht="12.75"/>
    <row r="8423" s="23" customFormat="1" ht="12.75"/>
    <row r="8424" s="23" customFormat="1" ht="12.75"/>
    <row r="8425" s="23" customFormat="1" ht="12.75"/>
    <row r="8426" s="23" customFormat="1" ht="12.75"/>
    <row r="8427" s="23" customFormat="1" ht="12.75"/>
    <row r="8428" s="23" customFormat="1" ht="12.75"/>
    <row r="8429" s="23" customFormat="1" ht="12.75"/>
    <row r="8430" s="23" customFormat="1" ht="12.75"/>
    <row r="8431" s="23" customFormat="1" ht="12.75"/>
    <row r="8432" s="23" customFormat="1" ht="12.75"/>
    <row r="8433" s="23" customFormat="1" ht="12.75"/>
    <row r="8434" s="23" customFormat="1" ht="12.75"/>
    <row r="8435" s="23" customFormat="1" ht="12.75"/>
    <row r="8436" s="23" customFormat="1" ht="12.75"/>
    <row r="8437" s="23" customFormat="1" ht="12.75"/>
    <row r="8438" s="23" customFormat="1" ht="12.75"/>
    <row r="8439" s="23" customFormat="1" ht="12.75"/>
    <row r="8440" s="23" customFormat="1" ht="12.75"/>
    <row r="8441" s="23" customFormat="1" ht="12.75"/>
    <row r="8442" s="23" customFormat="1" ht="12.75"/>
    <row r="8443" s="23" customFormat="1" ht="12.75"/>
    <row r="8444" s="23" customFormat="1" ht="12.75"/>
    <row r="8445" s="23" customFormat="1" ht="12.75"/>
    <row r="8446" s="23" customFormat="1" ht="12.75"/>
    <row r="8447" s="23" customFormat="1" ht="12.75"/>
    <row r="8448" s="23" customFormat="1" ht="12.75"/>
    <row r="8449" s="23" customFormat="1" ht="12.75"/>
    <row r="8450" s="23" customFormat="1" ht="12.75"/>
    <row r="8451" s="23" customFormat="1" ht="12.75"/>
    <row r="8452" s="23" customFormat="1" ht="12.75"/>
    <row r="8453" s="23" customFormat="1" ht="12.75"/>
    <row r="8454" s="23" customFormat="1" ht="12.75"/>
    <row r="8455" s="23" customFormat="1" ht="12.75"/>
    <row r="8456" s="23" customFormat="1" ht="12.75"/>
    <row r="8457" s="23" customFormat="1" ht="12.75"/>
    <row r="8458" s="23" customFormat="1" ht="12.75"/>
    <row r="8459" s="23" customFormat="1" ht="12.75"/>
    <row r="8460" s="23" customFormat="1" ht="12.75"/>
    <row r="8461" s="23" customFormat="1" ht="12.75"/>
    <row r="8462" s="23" customFormat="1" ht="12.75"/>
    <row r="8463" s="23" customFormat="1" ht="12.75"/>
    <row r="8464" s="23" customFormat="1" ht="12.75"/>
    <row r="8465" s="23" customFormat="1" ht="12.75"/>
    <row r="8466" s="23" customFormat="1" ht="12.75"/>
    <row r="8467" s="23" customFormat="1" ht="12.75"/>
    <row r="8468" s="23" customFormat="1" ht="12.75"/>
    <row r="8469" s="23" customFormat="1" ht="12.75"/>
    <row r="8470" s="23" customFormat="1" ht="12.75"/>
    <row r="8471" s="23" customFormat="1" ht="12.75"/>
    <row r="8472" s="23" customFormat="1" ht="12.75"/>
    <row r="8473" s="23" customFormat="1" ht="12.75"/>
    <row r="8474" s="23" customFormat="1" ht="12.75"/>
    <row r="8475" s="23" customFormat="1" ht="12.75"/>
    <row r="8476" s="23" customFormat="1" ht="12.75"/>
    <row r="8477" s="23" customFormat="1" ht="12.75"/>
    <row r="8478" s="23" customFormat="1" ht="12.75"/>
    <row r="8479" s="23" customFormat="1" ht="12.75"/>
    <row r="8480" s="23" customFormat="1" ht="12.75"/>
    <row r="8481" s="23" customFormat="1" ht="12.75"/>
    <row r="8482" s="23" customFormat="1" ht="12.75"/>
    <row r="8483" s="23" customFormat="1" ht="12.75"/>
    <row r="8484" s="23" customFormat="1" ht="12.75"/>
    <row r="8485" s="23" customFormat="1" ht="12.75"/>
    <row r="8486" s="23" customFormat="1" ht="12.75"/>
    <row r="8487" s="23" customFormat="1" ht="12.75"/>
    <row r="8488" s="23" customFormat="1" ht="12.75"/>
    <row r="8489" s="23" customFormat="1" ht="12.75"/>
    <row r="8490" s="23" customFormat="1" ht="12.75"/>
    <row r="8491" s="23" customFormat="1" ht="12.75"/>
    <row r="8492" s="23" customFormat="1" ht="12.75"/>
    <row r="8493" s="23" customFormat="1" ht="12.75"/>
    <row r="8494" s="23" customFormat="1" ht="12.75"/>
    <row r="8495" s="23" customFormat="1" ht="12.75"/>
    <row r="8496" s="23" customFormat="1" ht="12.75"/>
    <row r="8497" s="23" customFormat="1" ht="12.75"/>
    <row r="8498" s="23" customFormat="1" ht="12.75"/>
    <row r="8499" s="23" customFormat="1" ht="12.75"/>
    <row r="8500" s="23" customFormat="1" ht="12.75"/>
    <row r="8501" s="23" customFormat="1" ht="12.75"/>
    <row r="8502" s="23" customFormat="1" ht="12.75"/>
    <row r="8503" s="23" customFormat="1" ht="12.75"/>
    <row r="8504" s="23" customFormat="1" ht="12.75"/>
    <row r="8505" s="23" customFormat="1" ht="12.75"/>
    <row r="8506" s="23" customFormat="1" ht="12.75"/>
    <row r="8507" s="23" customFormat="1" ht="12.75"/>
    <row r="8508" s="23" customFormat="1" ht="12.75"/>
    <row r="8509" s="23" customFormat="1" ht="12.75"/>
    <row r="8510" s="23" customFormat="1" ht="12.75"/>
    <row r="8511" s="23" customFormat="1" ht="12.75"/>
    <row r="8512" s="23" customFormat="1" ht="12.75"/>
    <row r="8513" s="23" customFormat="1" ht="12.75"/>
    <row r="8514" s="23" customFormat="1" ht="12.75"/>
    <row r="8515" s="23" customFormat="1" ht="12.75"/>
    <row r="8516" s="23" customFormat="1" ht="12.75"/>
    <row r="8517" s="23" customFormat="1" ht="12.75"/>
    <row r="8518" s="23" customFormat="1" ht="12.75"/>
    <row r="8519" s="23" customFormat="1" ht="12.75"/>
    <row r="8520" s="23" customFormat="1" ht="12.75"/>
    <row r="8521" s="23" customFormat="1" ht="12.75"/>
    <row r="8522" s="23" customFormat="1" ht="12.75"/>
    <row r="8523" s="23" customFormat="1" ht="12.75"/>
    <row r="8524" s="23" customFormat="1" ht="12.75"/>
    <row r="8525" s="23" customFormat="1" ht="12.75"/>
    <row r="8526" s="23" customFormat="1" ht="12.75"/>
    <row r="8527" s="23" customFormat="1" ht="12.75"/>
    <row r="8528" s="23" customFormat="1" ht="12.75"/>
    <row r="8529" s="23" customFormat="1" ht="12.75"/>
    <row r="8530" s="23" customFormat="1" ht="12.75"/>
    <row r="8531" s="23" customFormat="1" ht="12.75"/>
    <row r="8532" s="23" customFormat="1" ht="12.75"/>
    <row r="8533" s="23" customFormat="1" ht="12.75"/>
    <row r="8534" s="23" customFormat="1" ht="12.75"/>
    <row r="8535" s="23" customFormat="1" ht="12.75"/>
    <row r="8536" s="23" customFormat="1" ht="12.75"/>
    <row r="8537" s="23" customFormat="1" ht="12.75"/>
    <row r="8538" s="23" customFormat="1" ht="12.75"/>
    <row r="8539" s="23" customFormat="1" ht="12.75"/>
    <row r="8540" s="23" customFormat="1" ht="12.75"/>
    <row r="8541" s="23" customFormat="1" ht="12.75"/>
    <row r="8542" s="23" customFormat="1" ht="12.75"/>
    <row r="8543" s="23" customFormat="1" ht="12.75"/>
    <row r="8544" s="23" customFormat="1" ht="12.75"/>
    <row r="8545" s="23" customFormat="1" ht="12.75"/>
    <row r="8546" s="23" customFormat="1" ht="12.75"/>
    <row r="8547" s="23" customFormat="1" ht="12.75"/>
    <row r="8548" s="23" customFormat="1" ht="12.75"/>
    <row r="8549" s="23" customFormat="1" ht="12.75"/>
    <row r="8550" s="23" customFormat="1" ht="12.75"/>
    <row r="8551" s="23" customFormat="1" ht="12.75"/>
    <row r="8552" s="23" customFormat="1" ht="12.75"/>
    <row r="8553" s="23" customFormat="1" ht="12.75"/>
    <row r="8554" s="23" customFormat="1" ht="12.75"/>
    <row r="8555" s="23" customFormat="1" ht="12.75"/>
    <row r="8556" s="23" customFormat="1" ht="12.75"/>
    <row r="8557" s="23" customFormat="1" ht="12.75"/>
    <row r="8558" s="23" customFormat="1" ht="12.75"/>
    <row r="8559" s="23" customFormat="1" ht="12.75"/>
    <row r="8560" s="23" customFormat="1" ht="12.75"/>
    <row r="8561" s="23" customFormat="1" ht="12.75"/>
    <row r="8562" s="23" customFormat="1" ht="12.75"/>
    <row r="8563" s="23" customFormat="1" ht="12.75"/>
    <row r="8564" s="23" customFormat="1" ht="12.75"/>
    <row r="8565" s="23" customFormat="1" ht="12.75"/>
    <row r="8566" s="23" customFormat="1" ht="12.75"/>
    <row r="8567" s="23" customFormat="1" ht="12.75"/>
    <row r="8568" s="23" customFormat="1" ht="12.75"/>
    <row r="8569" s="23" customFormat="1" ht="12.75"/>
    <row r="8570" s="23" customFormat="1" ht="12.75"/>
    <row r="8571" s="23" customFormat="1" ht="12.75"/>
    <row r="8572" s="23" customFormat="1" ht="12.75"/>
    <row r="8573" s="23" customFormat="1" ht="12.75"/>
    <row r="8574" s="23" customFormat="1" ht="12.75"/>
    <row r="8575" s="23" customFormat="1" ht="12.75"/>
    <row r="8576" s="23" customFormat="1" ht="12.75"/>
    <row r="8577" s="23" customFormat="1" ht="12.75"/>
    <row r="8578" s="23" customFormat="1" ht="12.75"/>
    <row r="8579" s="23" customFormat="1" ht="12.75"/>
    <row r="8580" s="23" customFormat="1" ht="12.75"/>
    <row r="8581" s="23" customFormat="1" ht="12.75"/>
    <row r="8582" s="23" customFormat="1" ht="12.75"/>
    <row r="8583" s="23" customFormat="1" ht="12.75"/>
    <row r="8584" s="23" customFormat="1" ht="12.75"/>
    <row r="8585" s="23" customFormat="1" ht="12.75"/>
    <row r="8586" s="23" customFormat="1" ht="12.75"/>
    <row r="8587" s="23" customFormat="1" ht="12.75"/>
    <row r="8588" s="23" customFormat="1" ht="12.75"/>
    <row r="8589" s="23" customFormat="1" ht="12.75"/>
    <row r="8590" s="23" customFormat="1" ht="12.75"/>
    <row r="8591" s="23" customFormat="1" ht="12.75"/>
    <row r="8592" s="23" customFormat="1" ht="12.75"/>
    <row r="8593" s="23" customFormat="1" ht="12.75"/>
    <row r="8594" s="23" customFormat="1" ht="12.75"/>
    <row r="8595" s="23" customFormat="1" ht="12.75"/>
    <row r="8596" s="23" customFormat="1" ht="12.75"/>
    <row r="8597" s="23" customFormat="1" ht="12.75"/>
    <row r="8598" s="23" customFormat="1" ht="12.75"/>
    <row r="8599" s="23" customFormat="1" ht="12.75"/>
    <row r="8600" s="23" customFormat="1" ht="12.75"/>
    <row r="8601" s="23" customFormat="1" ht="12.75"/>
    <row r="8602" s="23" customFormat="1" ht="12.75"/>
    <row r="8603" s="23" customFormat="1" ht="12.75"/>
    <row r="8604" s="23" customFormat="1" ht="12.75"/>
    <row r="8605" s="23" customFormat="1" ht="12.75"/>
    <row r="8606" s="23" customFormat="1" ht="12.75"/>
    <row r="8607" s="23" customFormat="1" ht="12.75"/>
    <row r="8608" s="23" customFormat="1" ht="12.75"/>
    <row r="8609" s="23" customFormat="1" ht="12.75"/>
    <row r="8610" s="23" customFormat="1" ht="12.75"/>
    <row r="8611" s="23" customFormat="1" ht="12.75"/>
    <row r="8612" s="23" customFormat="1" ht="12.75"/>
    <row r="8613" s="23" customFormat="1" ht="12.75"/>
    <row r="8614" s="23" customFormat="1" ht="12.75"/>
    <row r="8615" s="23" customFormat="1" ht="12.75"/>
    <row r="8616" s="23" customFormat="1" ht="12.75"/>
    <row r="8617" s="23" customFormat="1" ht="12.75"/>
    <row r="8618" s="23" customFormat="1" ht="12.75"/>
    <row r="8619" s="23" customFormat="1" ht="12.75"/>
    <row r="8620" s="23" customFormat="1" ht="12.75"/>
    <row r="8621" s="23" customFormat="1" ht="12.75"/>
    <row r="8622" s="23" customFormat="1" ht="12.75"/>
    <row r="8623" s="23" customFormat="1" ht="12.75"/>
    <row r="8624" s="23" customFormat="1" ht="12.75"/>
    <row r="8625" s="23" customFormat="1" ht="12.75"/>
    <row r="8626" s="23" customFormat="1" ht="12.75"/>
    <row r="8627" s="23" customFormat="1" ht="12.75"/>
    <row r="8628" s="23" customFormat="1" ht="12.75"/>
    <row r="8629" s="23" customFormat="1" ht="12.75"/>
    <row r="8630" s="23" customFormat="1" ht="12.75"/>
    <row r="8631" s="23" customFormat="1" ht="12.75"/>
    <row r="8632" s="23" customFormat="1" ht="12.75"/>
    <row r="8633" s="23" customFormat="1" ht="12.75"/>
    <row r="8634" s="23" customFormat="1" ht="12.75"/>
    <row r="8635" s="23" customFormat="1" ht="12.75"/>
    <row r="8636" s="23" customFormat="1" ht="12.75"/>
    <row r="8637" s="23" customFormat="1" ht="12.75"/>
    <row r="8638" s="23" customFormat="1" ht="12.75"/>
    <row r="8639" s="23" customFormat="1" ht="12.75"/>
    <row r="8640" s="23" customFormat="1" ht="12.75"/>
    <row r="8641" s="23" customFormat="1" ht="12.75"/>
    <row r="8642" s="23" customFormat="1" ht="12.75"/>
    <row r="8643" s="23" customFormat="1" ht="12.75"/>
    <row r="8644" s="23" customFormat="1" ht="12.75"/>
    <row r="8645" s="23" customFormat="1" ht="12.75"/>
    <row r="8646" s="23" customFormat="1" ht="12.75"/>
    <row r="8647" s="23" customFormat="1" ht="12.75"/>
    <row r="8648" s="23" customFormat="1" ht="12.75"/>
    <row r="8649" s="23" customFormat="1" ht="12.75"/>
    <row r="8650" s="23" customFormat="1" ht="12.75"/>
    <row r="8651" s="23" customFormat="1" ht="12.75"/>
    <row r="8652" s="23" customFormat="1" ht="12.75"/>
    <row r="8653" s="23" customFormat="1" ht="12.75"/>
    <row r="8654" s="23" customFormat="1" ht="12.75"/>
    <row r="8655" s="23" customFormat="1" ht="12.75"/>
    <row r="8656" s="23" customFormat="1" ht="12.75"/>
    <row r="8657" s="23" customFormat="1" ht="12.75"/>
    <row r="8658" s="23" customFormat="1" ht="12.75"/>
    <row r="8659" s="23" customFormat="1" ht="12.75"/>
    <row r="8660" s="23" customFormat="1" ht="12.75"/>
    <row r="8661" s="23" customFormat="1" ht="12.75"/>
    <row r="8662" s="23" customFormat="1" ht="12.75"/>
    <row r="8663" s="23" customFormat="1" ht="12.75"/>
    <row r="8664" s="23" customFormat="1" ht="12.75"/>
    <row r="8665" s="23" customFormat="1" ht="12.75"/>
    <row r="8666" s="23" customFormat="1" ht="12.75"/>
    <row r="8667" s="23" customFormat="1" ht="12.75"/>
    <row r="8668" s="23" customFormat="1" ht="12.75"/>
    <row r="8669" s="23" customFormat="1" ht="12.75"/>
    <row r="8670" s="23" customFormat="1" ht="12.75"/>
    <row r="8671" s="23" customFormat="1" ht="12.75"/>
    <row r="8672" s="23" customFormat="1" ht="12.75"/>
    <row r="8673" s="23" customFormat="1" ht="12.75"/>
    <row r="8674" s="23" customFormat="1" ht="12.75"/>
    <row r="8675" s="23" customFormat="1" ht="12.75"/>
    <row r="8676" s="23" customFormat="1" ht="12.75"/>
    <row r="8677" s="23" customFormat="1" ht="12.75"/>
    <row r="8678" s="23" customFormat="1" ht="12.75"/>
    <row r="8679" s="23" customFormat="1" ht="12.75"/>
    <row r="8680" s="23" customFormat="1" ht="12.75"/>
    <row r="8681" s="23" customFormat="1" ht="12.75"/>
    <row r="8682" s="23" customFormat="1" ht="12.75"/>
    <row r="8683" s="23" customFormat="1" ht="12.75"/>
    <row r="8684" s="23" customFormat="1" ht="12.75"/>
    <row r="8685" s="23" customFormat="1" ht="12.75"/>
    <row r="8686" s="23" customFormat="1" ht="12.75"/>
    <row r="8687" s="23" customFormat="1" ht="12.75"/>
    <row r="8688" s="23" customFormat="1" ht="12.75"/>
    <row r="8689" s="23" customFormat="1" ht="12.75"/>
    <row r="8690" s="23" customFormat="1" ht="12.75"/>
    <row r="8691" s="23" customFormat="1" ht="12.75"/>
    <row r="8692" s="23" customFormat="1" ht="12.75"/>
    <row r="8693" s="23" customFormat="1" ht="12.75"/>
    <row r="8694" s="23" customFormat="1" ht="12.75"/>
    <row r="8695" s="23" customFormat="1" ht="12.75"/>
    <row r="8696" s="23" customFormat="1" ht="12.75"/>
    <row r="8697" s="23" customFormat="1" ht="12.75"/>
    <row r="8698" s="23" customFormat="1" ht="12.75"/>
    <row r="8699" s="23" customFormat="1" ht="12.75"/>
    <row r="8700" s="23" customFormat="1" ht="12.75"/>
    <row r="8701" s="23" customFormat="1" ht="12.75"/>
    <row r="8702" s="23" customFormat="1" ht="12.75"/>
    <row r="8703" s="23" customFormat="1" ht="12.75"/>
    <row r="8704" s="23" customFormat="1" ht="12.75"/>
    <row r="8705" s="23" customFormat="1" ht="12.75"/>
    <row r="8706" s="23" customFormat="1" ht="12.75"/>
    <row r="8707" s="23" customFormat="1" ht="12.75"/>
    <row r="8708" s="23" customFormat="1" ht="12.75"/>
    <row r="8709" s="23" customFormat="1" ht="12.75"/>
    <row r="8710" s="23" customFormat="1" ht="12.75"/>
    <row r="8711" s="23" customFormat="1" ht="12.75"/>
    <row r="8712" s="23" customFormat="1" ht="12.75"/>
    <row r="8713" s="23" customFormat="1" ht="12.75"/>
    <row r="8714" s="23" customFormat="1" ht="12.75"/>
    <row r="8715" s="23" customFormat="1" ht="12.75"/>
    <row r="8716" s="23" customFormat="1" ht="12.75"/>
    <row r="8717" s="23" customFormat="1" ht="12.75"/>
    <row r="8718" s="23" customFormat="1" ht="12.75"/>
    <row r="8719" s="23" customFormat="1" ht="12.75"/>
    <row r="8720" s="23" customFormat="1" ht="12.75"/>
    <row r="8721" s="23" customFormat="1" ht="12.75"/>
    <row r="8722" s="23" customFormat="1" ht="12.75"/>
    <row r="8723" s="23" customFormat="1" ht="12.75"/>
    <row r="8724" s="23" customFormat="1" ht="12.75"/>
    <row r="8725" s="23" customFormat="1" ht="12.75"/>
    <row r="8726" s="23" customFormat="1" ht="12.75"/>
    <row r="8727" s="23" customFormat="1" ht="12.75"/>
    <row r="8728" s="23" customFormat="1" ht="12.75"/>
    <row r="8729" s="23" customFormat="1" ht="12.75"/>
    <row r="8730" s="23" customFormat="1" ht="12.75"/>
    <row r="8731" s="23" customFormat="1" ht="12.75"/>
    <row r="8732" s="23" customFormat="1" ht="12.75"/>
    <row r="8733" s="23" customFormat="1" ht="12.75"/>
    <row r="8734" s="23" customFormat="1" ht="12.75"/>
    <row r="8735" s="23" customFormat="1" ht="12.75"/>
    <row r="8736" s="23" customFormat="1" ht="12.75"/>
    <row r="8737" s="23" customFormat="1" ht="12.75"/>
    <row r="8738" s="23" customFormat="1" ht="12.75"/>
    <row r="8739" s="23" customFormat="1" ht="12.75"/>
    <row r="8740" s="23" customFormat="1" ht="12.75"/>
    <row r="8741" s="23" customFormat="1" ht="12.75"/>
    <row r="8742" s="23" customFormat="1" ht="12.75"/>
    <row r="8743" s="23" customFormat="1" ht="12.75"/>
    <row r="8744" s="23" customFormat="1" ht="12.75"/>
    <row r="8745" s="23" customFormat="1" ht="12.75"/>
    <row r="8746" s="23" customFormat="1" ht="12.75"/>
    <row r="8747" s="23" customFormat="1" ht="12.75"/>
    <row r="8748" s="23" customFormat="1" ht="12.75"/>
    <row r="8749" s="23" customFormat="1" ht="12.75"/>
    <row r="8750" s="23" customFormat="1" ht="12.75"/>
    <row r="8751" s="23" customFormat="1" ht="12.75"/>
    <row r="8752" s="23" customFormat="1" ht="12.75"/>
    <row r="8753" s="23" customFormat="1" ht="12.75"/>
    <row r="8754" s="23" customFormat="1" ht="12.75"/>
    <row r="8755" s="23" customFormat="1" ht="12.75"/>
    <row r="8756" s="23" customFormat="1" ht="12.75"/>
    <row r="8757" s="23" customFormat="1" ht="12.75"/>
    <row r="8758" s="23" customFormat="1" ht="12.75"/>
    <row r="8759" s="23" customFormat="1" ht="12.75"/>
    <row r="8760" s="23" customFormat="1" ht="12.75"/>
    <row r="8761" s="23" customFormat="1" ht="12.75"/>
    <row r="8762" s="23" customFormat="1" ht="12.75"/>
    <row r="8763" s="23" customFormat="1" ht="12.75"/>
    <row r="8764" s="23" customFormat="1" ht="12.75"/>
    <row r="8765" s="23" customFormat="1" ht="12.75"/>
    <row r="8766" s="23" customFormat="1" ht="12.75"/>
    <row r="8767" s="23" customFormat="1" ht="12.75"/>
    <row r="8768" s="23" customFormat="1" ht="12.75"/>
    <row r="8769" s="23" customFormat="1" ht="12.75"/>
    <row r="8770" s="23" customFormat="1" ht="12.75"/>
    <row r="8771" s="23" customFormat="1" ht="12.75"/>
    <row r="8772" s="23" customFormat="1" ht="12.75"/>
    <row r="8773" s="23" customFormat="1" ht="12.75"/>
    <row r="8774" s="23" customFormat="1" ht="12.75"/>
    <row r="8775" s="23" customFormat="1" ht="12.75"/>
    <row r="8776" s="23" customFormat="1" ht="12.75"/>
    <row r="8777" s="23" customFormat="1" ht="12.75"/>
    <row r="8778" s="23" customFormat="1" ht="12.75"/>
    <row r="8779" s="23" customFormat="1" ht="12.75"/>
    <row r="8780" s="23" customFormat="1" ht="12.75"/>
    <row r="8781" s="23" customFormat="1" ht="12.75"/>
    <row r="8782" s="23" customFormat="1" ht="12.75"/>
    <row r="8783" s="23" customFormat="1" ht="12.75"/>
    <row r="8784" s="23" customFormat="1" ht="12.75"/>
    <row r="8785" s="23" customFormat="1" ht="12.75"/>
    <row r="8786" s="23" customFormat="1" ht="12.75"/>
    <row r="8787" s="23" customFormat="1" ht="12.75"/>
    <row r="8788" s="23" customFormat="1" ht="12.75"/>
    <row r="8789" s="23" customFormat="1" ht="12.75"/>
    <row r="8790" s="23" customFormat="1" ht="12.75"/>
    <row r="8791" s="23" customFormat="1" ht="12.75"/>
    <row r="8792" s="23" customFormat="1" ht="12.75"/>
    <row r="8793" s="23" customFormat="1" ht="12.75"/>
    <row r="8794" s="23" customFormat="1" ht="12.75"/>
    <row r="8795" s="23" customFormat="1" ht="12.75"/>
    <row r="8796" s="23" customFormat="1" ht="12.75"/>
    <row r="8797" s="23" customFormat="1" ht="12.75"/>
    <row r="8798" s="23" customFormat="1" ht="12.75"/>
    <row r="8799" s="23" customFormat="1" ht="12.75"/>
    <row r="8800" s="23" customFormat="1" ht="12.75"/>
    <row r="8801" s="23" customFormat="1" ht="12.75"/>
    <row r="8802" s="23" customFormat="1" ht="12.75"/>
    <row r="8803" s="23" customFormat="1" ht="12.75"/>
    <row r="8804" s="23" customFormat="1" ht="12.75"/>
    <row r="8805" s="23" customFormat="1" ht="12.75"/>
    <row r="8806" s="23" customFormat="1" ht="12.75"/>
    <row r="8807" s="23" customFormat="1" ht="12.75"/>
    <row r="8808" s="23" customFormat="1" ht="12.75"/>
    <row r="8809" s="23" customFormat="1" ht="12.75"/>
    <row r="8810" s="23" customFormat="1" ht="12.75"/>
    <row r="8811" s="23" customFormat="1" ht="12.75"/>
    <row r="8812" s="23" customFormat="1" ht="12.75"/>
    <row r="8813" s="23" customFormat="1" ht="12.75"/>
    <row r="8814" s="23" customFormat="1" ht="12.75"/>
    <row r="8815" s="23" customFormat="1" ht="12.75"/>
    <row r="8816" s="23" customFormat="1" ht="12.75"/>
    <row r="8817" s="23" customFormat="1" ht="12.75"/>
    <row r="8818" s="23" customFormat="1" ht="12.75"/>
    <row r="8819" s="23" customFormat="1" ht="12.75"/>
    <row r="8820" s="23" customFormat="1" ht="12.75"/>
    <row r="8821" s="23" customFormat="1" ht="12.75"/>
    <row r="8822" s="23" customFormat="1" ht="12.75"/>
    <row r="8823" s="23" customFormat="1" ht="12.75"/>
    <row r="8824" s="23" customFormat="1" ht="12.75"/>
    <row r="8825" s="23" customFormat="1" ht="12.75"/>
    <row r="8826" s="23" customFormat="1" ht="12.75"/>
    <row r="8827" s="23" customFormat="1" ht="12.75"/>
    <row r="8828" s="23" customFormat="1" ht="12.75"/>
    <row r="8829" s="23" customFormat="1" ht="12.75"/>
    <row r="8830" s="23" customFormat="1" ht="12.75"/>
    <row r="8831" s="23" customFormat="1" ht="12.75"/>
    <row r="8832" s="23" customFormat="1" ht="12.75"/>
    <row r="8833" s="23" customFormat="1" ht="12.75"/>
    <row r="8834" s="23" customFormat="1" ht="12.75"/>
    <row r="8835" s="23" customFormat="1" ht="12.75"/>
    <row r="8836" s="23" customFormat="1" ht="12.75"/>
    <row r="8837" s="23" customFormat="1" ht="12.75"/>
    <row r="8838" s="23" customFormat="1" ht="12.75"/>
    <row r="8839" s="23" customFormat="1" ht="12.75"/>
    <row r="8840" s="23" customFormat="1" ht="12.75"/>
    <row r="8841" s="23" customFormat="1" ht="12.75"/>
    <row r="8842" s="23" customFormat="1" ht="12.75"/>
    <row r="8843" s="23" customFormat="1" ht="12.75"/>
    <row r="8844" s="23" customFormat="1" ht="12.75"/>
    <row r="8845" s="23" customFormat="1" ht="12.75"/>
    <row r="8846" s="23" customFormat="1" ht="12.75"/>
    <row r="8847" s="23" customFormat="1" ht="12.75"/>
    <row r="8848" s="23" customFormat="1" ht="12.75"/>
    <row r="8849" s="23" customFormat="1" ht="12.75"/>
    <row r="8850" s="23" customFormat="1" ht="12.75"/>
    <row r="8851" s="23" customFormat="1" ht="12.75"/>
    <row r="8852" s="23" customFormat="1" ht="12.75"/>
    <row r="8853" s="23" customFormat="1" ht="12.75"/>
    <row r="8854" s="23" customFormat="1" ht="12.75"/>
    <row r="8855" s="23" customFormat="1" ht="12.75"/>
    <row r="8856" s="23" customFormat="1" ht="12.75"/>
    <row r="8857" s="23" customFormat="1" ht="12.75"/>
    <row r="8858" s="23" customFormat="1" ht="12.75"/>
    <row r="8859" s="23" customFormat="1" ht="12.75"/>
    <row r="8860" s="23" customFormat="1" ht="12.75"/>
    <row r="8861" s="23" customFormat="1" ht="12.75"/>
    <row r="8862" s="23" customFormat="1" ht="12.75"/>
    <row r="8863" s="23" customFormat="1" ht="12.75"/>
    <row r="8864" s="23" customFormat="1" ht="12.75"/>
    <row r="8865" s="23" customFormat="1" ht="12.75"/>
    <row r="8866" s="23" customFormat="1" ht="12.75"/>
    <row r="8867" s="23" customFormat="1" ht="12.75"/>
    <row r="8868" s="23" customFormat="1" ht="12.75"/>
    <row r="8869" s="23" customFormat="1" ht="12.75"/>
    <row r="8870" s="23" customFormat="1" ht="12.75"/>
    <row r="8871" s="23" customFormat="1" ht="12.75"/>
    <row r="8872" s="23" customFormat="1" ht="12.75"/>
    <row r="8873" s="23" customFormat="1" ht="12.75"/>
    <row r="8874" s="23" customFormat="1" ht="12.75"/>
    <row r="8875" s="23" customFormat="1" ht="12.75"/>
    <row r="8876" s="23" customFormat="1" ht="12.75"/>
    <row r="8877" s="23" customFormat="1" ht="12.75"/>
    <row r="8878" s="23" customFormat="1" ht="12.75"/>
    <row r="8879" s="23" customFormat="1" ht="12.75"/>
    <row r="8880" s="23" customFormat="1" ht="12.75"/>
    <row r="8881" s="23" customFormat="1" ht="12.75"/>
    <row r="8882" s="23" customFormat="1" ht="12.75"/>
    <row r="8883" s="23" customFormat="1" ht="12.75"/>
    <row r="8884" s="23" customFormat="1" ht="12.75"/>
    <row r="8885" s="23" customFormat="1" ht="12.75"/>
    <row r="8886" s="23" customFormat="1" ht="12.75"/>
    <row r="8887" s="23" customFormat="1" ht="12.75"/>
    <row r="8888" s="23" customFormat="1" ht="12.75"/>
    <row r="8889" s="23" customFormat="1" ht="12.75"/>
    <row r="8890" s="23" customFormat="1" ht="12.75"/>
    <row r="8891" s="23" customFormat="1" ht="12.75"/>
    <row r="8892" s="23" customFormat="1" ht="12.75"/>
    <row r="8893" s="23" customFormat="1" ht="12.75"/>
    <row r="8894" s="23" customFormat="1" ht="12.75"/>
    <row r="8895" s="23" customFormat="1" ht="12.75"/>
    <row r="8896" s="23" customFormat="1" ht="12.75"/>
    <row r="8897" s="23" customFormat="1" ht="12.75"/>
    <row r="8898" s="23" customFormat="1" ht="12.75"/>
    <row r="8899" s="23" customFormat="1" ht="12.75"/>
    <row r="8900" s="23" customFormat="1" ht="12.75"/>
    <row r="8901" s="23" customFormat="1" ht="12.75"/>
    <row r="8902" s="23" customFormat="1" ht="12.75"/>
    <row r="8903" s="23" customFormat="1" ht="12.75"/>
    <row r="8904" s="23" customFormat="1" ht="12.75"/>
    <row r="8905" s="23" customFormat="1" ht="12.75"/>
    <row r="8906" s="23" customFormat="1" ht="12.75"/>
    <row r="8907" s="23" customFormat="1" ht="12.75"/>
    <row r="8908" s="23" customFormat="1" ht="12.75"/>
    <row r="8909" s="23" customFormat="1" ht="12.75"/>
    <row r="8910" s="23" customFormat="1" ht="12.75"/>
    <row r="8911" s="23" customFormat="1" ht="12.75"/>
    <row r="8912" s="23" customFormat="1" ht="12.75"/>
    <row r="8913" s="23" customFormat="1" ht="12.75"/>
    <row r="8914" s="23" customFormat="1" ht="12.75"/>
    <row r="8915" s="23" customFormat="1" ht="12.75"/>
    <row r="8916" s="23" customFormat="1" ht="12.75"/>
    <row r="8917" s="23" customFormat="1" ht="12.75"/>
    <row r="8918" s="23" customFormat="1" ht="12.75"/>
    <row r="8919" s="23" customFormat="1" ht="12.75"/>
    <row r="8920" s="23" customFormat="1" ht="12.75"/>
    <row r="8921" s="23" customFormat="1" ht="12.75"/>
    <row r="8922" s="23" customFormat="1" ht="12.75"/>
    <row r="8923" s="23" customFormat="1" ht="12.75"/>
    <row r="8924" s="23" customFormat="1" ht="12.75"/>
    <row r="8925" s="23" customFormat="1" ht="12.75"/>
    <row r="8926" s="23" customFormat="1" ht="12.75"/>
    <row r="8927" s="23" customFormat="1" ht="12.75"/>
    <row r="8928" s="23" customFormat="1" ht="12.75"/>
    <row r="8929" s="23" customFormat="1" ht="12.75"/>
    <row r="8930" s="23" customFormat="1" ht="12.75"/>
    <row r="8931" s="23" customFormat="1" ht="12.75"/>
    <row r="8932" s="23" customFormat="1" ht="12.75"/>
    <row r="8933" s="23" customFormat="1" ht="12.75"/>
    <row r="8934" s="23" customFormat="1" ht="12.75"/>
    <row r="8935" s="23" customFormat="1" ht="12.75"/>
    <row r="8936" s="23" customFormat="1" ht="12.75"/>
    <row r="8937" s="23" customFormat="1" ht="12.75"/>
    <row r="8938" s="23" customFormat="1" ht="12.75"/>
    <row r="8939" s="23" customFormat="1" ht="12.75"/>
    <row r="8940" s="23" customFormat="1" ht="12.75"/>
    <row r="8941" s="23" customFormat="1" ht="12.75"/>
    <row r="8942" s="23" customFormat="1" ht="12.75"/>
    <row r="8943" s="23" customFormat="1" ht="12.75"/>
    <row r="8944" s="23" customFormat="1" ht="12.75"/>
    <row r="8945" s="23" customFormat="1" ht="12.75"/>
    <row r="8946" s="23" customFormat="1" ht="12.75"/>
    <row r="8947" s="23" customFormat="1" ht="12.75"/>
    <row r="8948" s="23" customFormat="1" ht="12.75"/>
    <row r="8949" s="23" customFormat="1" ht="12.75"/>
    <row r="8950" s="23" customFormat="1" ht="12.75"/>
    <row r="8951" s="23" customFormat="1" ht="12.75"/>
    <row r="8952" s="23" customFormat="1" ht="12.75"/>
    <row r="8953" s="23" customFormat="1" ht="12.75"/>
    <row r="8954" s="23" customFormat="1" ht="12.75"/>
    <row r="8955" s="23" customFormat="1" ht="12.75"/>
    <row r="8956" s="23" customFormat="1" ht="12.75"/>
    <row r="8957" s="23" customFormat="1" ht="12.75"/>
    <row r="8958" s="23" customFormat="1" ht="12.75"/>
    <row r="8959" s="23" customFormat="1" ht="12.75"/>
    <row r="8960" s="23" customFormat="1" ht="12.75"/>
    <row r="8961" s="23" customFormat="1" ht="12.75"/>
    <row r="8962" s="23" customFormat="1" ht="12.75"/>
    <row r="8963" s="23" customFormat="1" ht="12.75"/>
    <row r="8964" s="23" customFormat="1" ht="12.75"/>
    <row r="8965" s="23" customFormat="1" ht="12.75"/>
    <row r="8966" s="23" customFormat="1" ht="12.75"/>
    <row r="8967" s="23" customFormat="1" ht="12.75"/>
    <row r="8968" s="23" customFormat="1" ht="12.75"/>
    <row r="8969" s="23" customFormat="1" ht="12.75"/>
    <row r="8970" s="23" customFormat="1" ht="12.75"/>
    <row r="8971" s="23" customFormat="1" ht="12.75"/>
    <row r="8972" s="23" customFormat="1" ht="12.75"/>
    <row r="8973" s="23" customFormat="1" ht="12.75"/>
    <row r="8974" s="23" customFormat="1" ht="12.75"/>
    <row r="8975" s="23" customFormat="1" ht="12.75"/>
    <row r="8976" s="23" customFormat="1" ht="12.75"/>
    <row r="8977" s="23" customFormat="1" ht="12.75"/>
    <row r="8978" s="23" customFormat="1" ht="12.75"/>
    <row r="8979" s="23" customFormat="1" ht="12.75"/>
    <row r="8980" s="23" customFormat="1" ht="12.75"/>
    <row r="8981" s="23" customFormat="1" ht="12.75"/>
    <row r="8982" s="23" customFormat="1" ht="12.75"/>
    <row r="8983" s="23" customFormat="1" ht="12.75"/>
    <row r="8984" s="23" customFormat="1" ht="12.75"/>
    <row r="8985" s="23" customFormat="1" ht="12.75"/>
    <row r="8986" s="23" customFormat="1" ht="12.75"/>
    <row r="8987" s="23" customFormat="1" ht="12.75"/>
    <row r="8988" s="23" customFormat="1" ht="12.75"/>
    <row r="8989" s="23" customFormat="1" ht="12.75"/>
    <row r="8990" s="23" customFormat="1" ht="12.75"/>
    <row r="8991" s="23" customFormat="1" ht="12.75"/>
    <row r="8992" s="23" customFormat="1" ht="12.75"/>
    <row r="8993" s="23" customFormat="1" ht="12.75"/>
    <row r="8994" s="23" customFormat="1" ht="12.75"/>
    <row r="8995" s="23" customFormat="1" ht="12.75"/>
    <row r="8996" s="23" customFormat="1" ht="12.75"/>
    <row r="8997" s="23" customFormat="1" ht="12.75"/>
    <row r="8998" s="23" customFormat="1" ht="12.75"/>
    <row r="8999" s="23" customFormat="1" ht="12.75"/>
    <row r="9000" s="23" customFormat="1" ht="12.75"/>
    <row r="9001" s="23" customFormat="1" ht="12.75"/>
    <row r="9002" s="23" customFormat="1" ht="12.75"/>
    <row r="9003" s="23" customFormat="1" ht="12.75"/>
    <row r="9004" s="23" customFormat="1" ht="12.75"/>
    <row r="9005" s="23" customFormat="1" ht="12.75"/>
    <row r="9006" s="23" customFormat="1" ht="12.75"/>
    <row r="9007" s="23" customFormat="1" ht="12.75"/>
    <row r="9008" s="23" customFormat="1" ht="12.75"/>
    <row r="9009" s="23" customFormat="1" ht="12.75"/>
    <row r="9010" s="23" customFormat="1" ht="12.75"/>
    <row r="9011" s="23" customFormat="1" ht="12.75"/>
    <row r="9012" s="23" customFormat="1" ht="12.75"/>
    <row r="9013" s="23" customFormat="1" ht="12.75"/>
    <row r="9014" s="23" customFormat="1" ht="12.75"/>
    <row r="9015" s="23" customFormat="1" ht="12.75"/>
    <row r="9016" s="23" customFormat="1" ht="12.75"/>
    <row r="9017" s="23" customFormat="1" ht="12.75"/>
    <row r="9018" s="23" customFormat="1" ht="12.75"/>
    <row r="9019" s="23" customFormat="1" ht="12.75"/>
    <row r="9020" s="23" customFormat="1" ht="12.75"/>
    <row r="9021" s="23" customFormat="1" ht="12.75"/>
    <row r="9022" s="23" customFormat="1" ht="12.75"/>
    <row r="9023" s="23" customFormat="1" ht="12.75"/>
    <row r="9024" s="23" customFormat="1" ht="12.75"/>
    <row r="9025" s="23" customFormat="1" ht="12.75"/>
    <row r="9026" s="23" customFormat="1" ht="12.75"/>
    <row r="9027" s="23" customFormat="1" ht="12.75"/>
    <row r="9028" s="23" customFormat="1" ht="12.75"/>
    <row r="9029" s="23" customFormat="1" ht="12.75"/>
    <row r="9030" s="23" customFormat="1" ht="12.75"/>
    <row r="9031" s="23" customFormat="1" ht="12.75"/>
    <row r="9032" s="23" customFormat="1" ht="12.75"/>
    <row r="9033" s="23" customFormat="1" ht="12.75"/>
    <row r="9034" s="23" customFormat="1" ht="12.75"/>
    <row r="9035" s="23" customFormat="1" ht="12.75"/>
    <row r="9036" s="23" customFormat="1" ht="12.75"/>
    <row r="9037" s="23" customFormat="1" ht="12.75"/>
    <row r="9038" s="23" customFormat="1" ht="12.75"/>
    <row r="9039" s="23" customFormat="1" ht="12.75"/>
    <row r="9040" s="23" customFormat="1" ht="12.75"/>
    <row r="9041" s="23" customFormat="1" ht="12.75"/>
    <row r="9042" s="23" customFormat="1" ht="12.75"/>
    <row r="9043" s="23" customFormat="1" ht="12.75"/>
    <row r="9044" s="23" customFormat="1" ht="12.75"/>
    <row r="9045" s="23" customFormat="1" ht="12.75"/>
    <row r="9046" s="23" customFormat="1" ht="12.75"/>
    <row r="9047" s="23" customFormat="1" ht="12.75"/>
    <row r="9048" s="23" customFormat="1" ht="12.75"/>
    <row r="9049" s="23" customFormat="1" ht="12.75"/>
    <row r="9050" s="23" customFormat="1" ht="12.75"/>
    <row r="9051" s="23" customFormat="1" ht="12.75"/>
    <row r="9052" s="23" customFormat="1" ht="12.75"/>
    <row r="9053" s="23" customFormat="1" ht="12.75"/>
    <row r="9054" s="23" customFormat="1" ht="12.75"/>
    <row r="9055" s="23" customFormat="1" ht="12.75"/>
    <row r="9056" s="23" customFormat="1" ht="12.75"/>
    <row r="9057" s="23" customFormat="1" ht="12.75"/>
    <row r="9058" s="23" customFormat="1" ht="12.75"/>
    <row r="9059" s="23" customFormat="1" ht="12.75"/>
    <row r="9060" s="23" customFormat="1" ht="12.75"/>
    <row r="9061" s="23" customFormat="1" ht="12.75"/>
    <row r="9062" s="23" customFormat="1" ht="12.75"/>
    <row r="9063" s="23" customFormat="1" ht="12.75"/>
    <row r="9064" s="23" customFormat="1" ht="12.75"/>
    <row r="9065" s="23" customFormat="1" ht="12.75"/>
    <row r="9066" s="23" customFormat="1" ht="12.75"/>
    <row r="9067" s="23" customFormat="1" ht="12.75"/>
    <row r="9068" s="23" customFormat="1" ht="12.75"/>
    <row r="9069" s="23" customFormat="1" ht="12.75"/>
    <row r="9070" s="23" customFormat="1" ht="12.75"/>
    <row r="9071" s="23" customFormat="1" ht="12.75"/>
    <row r="9072" s="23" customFormat="1" ht="12.75"/>
    <row r="9073" s="23" customFormat="1" ht="12.75"/>
    <row r="9074" s="23" customFormat="1" ht="12.75"/>
    <row r="9075" s="23" customFormat="1" ht="12.75"/>
    <row r="9076" s="23" customFormat="1" ht="12.75"/>
    <row r="9077" s="23" customFormat="1" ht="12.75"/>
    <row r="9078" s="23" customFormat="1" ht="12.75"/>
    <row r="9079" s="23" customFormat="1" ht="12.75"/>
    <row r="9080" s="23" customFormat="1" ht="12.75"/>
    <row r="9081" s="23" customFormat="1" ht="12.75"/>
    <row r="9082" s="23" customFormat="1" ht="12.75"/>
    <row r="9083" s="23" customFormat="1" ht="12.75"/>
    <row r="9084" s="23" customFormat="1" ht="12.75"/>
    <row r="9085" s="23" customFormat="1" ht="12.75"/>
    <row r="9086" s="23" customFormat="1" ht="12.75"/>
    <row r="9087" s="23" customFormat="1" ht="12.75"/>
    <row r="9088" s="23" customFormat="1" ht="12.75"/>
    <row r="9089" s="23" customFormat="1" ht="12.75"/>
    <row r="9090" s="23" customFormat="1" ht="12.75"/>
    <row r="9091" s="23" customFormat="1" ht="12.75"/>
    <row r="9092" s="23" customFormat="1" ht="12.75"/>
    <row r="9093" s="23" customFormat="1" ht="12.75"/>
    <row r="9094" s="23" customFormat="1" ht="12.75"/>
    <row r="9095" s="23" customFormat="1" ht="12.75"/>
    <row r="9096" s="23" customFormat="1" ht="12.75"/>
    <row r="9097" s="23" customFormat="1" ht="12.75"/>
    <row r="9098" s="23" customFormat="1" ht="12.75"/>
    <row r="9099" s="23" customFormat="1" ht="12.75"/>
    <row r="9100" s="23" customFormat="1" ht="12.75"/>
    <row r="9101" s="23" customFormat="1" ht="12.75"/>
    <row r="9102" s="23" customFormat="1" ht="12.75"/>
    <row r="9103" s="23" customFormat="1" ht="12.75"/>
    <row r="9104" s="23" customFormat="1" ht="12.75"/>
    <row r="9105" s="23" customFormat="1" ht="12.75"/>
    <row r="9106" s="23" customFormat="1" ht="12.75"/>
    <row r="9107" s="23" customFormat="1" ht="12.75"/>
    <row r="9108" s="23" customFormat="1" ht="12.75"/>
    <row r="9109" s="23" customFormat="1" ht="12.75"/>
    <row r="9110" s="23" customFormat="1" ht="12.75"/>
    <row r="9111" s="23" customFormat="1" ht="12.75"/>
    <row r="9112" s="23" customFormat="1" ht="12.75"/>
    <row r="9113" s="23" customFormat="1" ht="12.75"/>
    <row r="9114" s="23" customFormat="1" ht="12.75"/>
    <row r="9115" s="23" customFormat="1" ht="12.75"/>
    <row r="9116" s="23" customFormat="1" ht="12.75"/>
    <row r="9117" s="23" customFormat="1" ht="12.75"/>
    <row r="9118" s="23" customFormat="1" ht="12.75"/>
    <row r="9119" s="23" customFormat="1" ht="12.75"/>
    <row r="9120" s="23" customFormat="1" ht="12.75"/>
    <row r="9121" s="23" customFormat="1" ht="12.75"/>
    <row r="9122" s="23" customFormat="1" ht="12.75"/>
    <row r="9123" s="23" customFormat="1" ht="12.75"/>
    <row r="9124" s="23" customFormat="1" ht="12.75"/>
    <row r="9125" s="23" customFormat="1" ht="12.75"/>
    <row r="9126" s="23" customFormat="1" ht="12.75"/>
    <row r="9127" s="23" customFormat="1" ht="12.75"/>
    <row r="9128" s="23" customFormat="1" ht="12.75"/>
    <row r="9129" s="23" customFormat="1" ht="12.75"/>
    <row r="9130" s="23" customFormat="1" ht="12.75"/>
    <row r="9131" s="23" customFormat="1" ht="12.75"/>
    <row r="9132" s="23" customFormat="1" ht="12.75"/>
    <row r="9133" s="23" customFormat="1" ht="12.75"/>
    <row r="9134" s="23" customFormat="1" ht="12.75"/>
    <row r="9135" s="23" customFormat="1" ht="12.75"/>
    <row r="9136" s="23" customFormat="1" ht="12.75"/>
    <row r="9137" s="23" customFormat="1" ht="12.75"/>
    <row r="9138" s="23" customFormat="1" ht="12.75"/>
    <row r="9139" s="23" customFormat="1" ht="12.75"/>
    <row r="9140" s="23" customFormat="1" ht="12.75"/>
    <row r="9141" s="23" customFormat="1" ht="12.75"/>
    <row r="9142" s="23" customFormat="1" ht="12.75"/>
    <row r="9143" s="23" customFormat="1" ht="12.75"/>
    <row r="9144" s="23" customFormat="1" ht="12.75"/>
    <row r="9145" s="23" customFormat="1" ht="12.75"/>
    <row r="9146" s="23" customFormat="1" ht="12.75"/>
    <row r="9147" s="23" customFormat="1" ht="12.75"/>
    <row r="9148" s="23" customFormat="1" ht="12.75"/>
    <row r="9149" s="23" customFormat="1" ht="12.75"/>
    <row r="9150" s="23" customFormat="1" ht="12.75"/>
    <row r="9151" s="23" customFormat="1" ht="12.75"/>
    <row r="9152" s="23" customFormat="1" ht="12.75"/>
    <row r="9153" s="23" customFormat="1" ht="12.75"/>
    <row r="9154" s="23" customFormat="1" ht="12.75"/>
    <row r="9155" s="23" customFormat="1" ht="12.75"/>
    <row r="9156" s="23" customFormat="1" ht="12.75"/>
    <row r="9157" s="23" customFormat="1" ht="12.75"/>
    <row r="9158" s="23" customFormat="1" ht="12.75"/>
    <row r="9159" s="23" customFormat="1" ht="12.75"/>
    <row r="9160" s="23" customFormat="1" ht="12.75"/>
    <row r="9161" s="23" customFormat="1" ht="12.75"/>
    <row r="9162" s="23" customFormat="1" ht="12.75"/>
    <row r="9163" s="23" customFormat="1" ht="12.75"/>
    <row r="9164" s="23" customFormat="1" ht="12.75"/>
    <row r="9165" s="23" customFormat="1" ht="12.75"/>
    <row r="9166" s="23" customFormat="1" ht="12.75"/>
    <row r="9167" s="23" customFormat="1" ht="12.75"/>
    <row r="9168" s="23" customFormat="1" ht="12.75"/>
    <row r="9169" s="23" customFormat="1" ht="12.75"/>
    <row r="9170" s="23" customFormat="1" ht="12.75"/>
    <row r="9171" s="23" customFormat="1" ht="12.75"/>
    <row r="9172" s="23" customFormat="1" ht="12.75"/>
    <row r="9173" s="23" customFormat="1" ht="12.75"/>
    <row r="9174" s="23" customFormat="1" ht="12.75"/>
    <row r="9175" s="23" customFormat="1" ht="12.75"/>
    <row r="9176" s="23" customFormat="1" ht="12.75"/>
    <row r="9177" s="23" customFormat="1" ht="12.75"/>
    <row r="9178" s="23" customFormat="1" ht="12.75"/>
    <row r="9179" s="23" customFormat="1" ht="12.75"/>
    <row r="9180" s="23" customFormat="1" ht="12.75"/>
    <row r="9181" s="23" customFormat="1" ht="12.75"/>
    <row r="9182" s="23" customFormat="1" ht="12.75"/>
    <row r="9183" s="23" customFormat="1" ht="12.75"/>
    <row r="9184" s="23" customFormat="1" ht="12.75"/>
    <row r="9185" s="23" customFormat="1" ht="12.75"/>
    <row r="9186" s="23" customFormat="1" ht="12.75"/>
    <row r="9187" s="23" customFormat="1" ht="12.75"/>
    <row r="9188" s="23" customFormat="1" ht="12.75"/>
    <row r="9189" s="23" customFormat="1" ht="12.75"/>
    <row r="9190" s="23" customFormat="1" ht="12.75"/>
    <row r="9191" s="23" customFormat="1" ht="12.75"/>
    <row r="9192" s="23" customFormat="1" ht="12.75"/>
    <row r="9193" s="23" customFormat="1" ht="12.75"/>
    <row r="9194" s="23" customFormat="1" ht="12.75"/>
    <row r="9195" s="23" customFormat="1" ht="12.75"/>
    <row r="9196" s="23" customFormat="1" ht="12.75"/>
    <row r="9197" s="23" customFormat="1" ht="12.75"/>
    <row r="9198" s="23" customFormat="1" ht="12.75"/>
    <row r="9199" s="23" customFormat="1" ht="12.75"/>
    <row r="9200" s="23" customFormat="1" ht="12.75"/>
    <row r="9201" s="23" customFormat="1" ht="12.75"/>
    <row r="9202" s="23" customFormat="1" ht="12.75"/>
    <row r="9203" s="23" customFormat="1" ht="12.75"/>
    <row r="9204" s="23" customFormat="1" ht="12.75"/>
    <row r="9205" s="23" customFormat="1" ht="12.75"/>
    <row r="9206" s="23" customFormat="1" ht="12.75"/>
    <row r="9207" s="23" customFormat="1" ht="12.75"/>
    <row r="9208" s="23" customFormat="1" ht="12.75"/>
    <row r="9209" s="23" customFormat="1" ht="12.75"/>
    <row r="9210" s="23" customFormat="1" ht="12.75"/>
    <row r="9211" s="23" customFormat="1" ht="12.75"/>
    <row r="9212" s="23" customFormat="1" ht="12.75"/>
    <row r="9213" s="23" customFormat="1" ht="12.75"/>
    <row r="9214" s="23" customFormat="1" ht="12.75"/>
    <row r="9215" s="23" customFormat="1" ht="12.75"/>
    <row r="9216" s="23" customFormat="1" ht="12.75"/>
    <row r="9217" s="23" customFormat="1" ht="12.75"/>
    <row r="9218" s="23" customFormat="1" ht="12.75"/>
    <row r="9219" s="23" customFormat="1" ht="12.75"/>
    <row r="9220" s="23" customFormat="1" ht="12.75"/>
    <row r="9221" s="23" customFormat="1" ht="12.75"/>
    <row r="9222" s="23" customFormat="1" ht="12.75"/>
    <row r="9223" s="23" customFormat="1" ht="12.75"/>
    <row r="9224" s="23" customFormat="1" ht="12.75"/>
    <row r="9225" s="23" customFormat="1" ht="12.75"/>
    <row r="9226" s="23" customFormat="1" ht="12.75"/>
    <row r="9227" s="23" customFormat="1" ht="12.75"/>
    <row r="9228" s="23" customFormat="1" ht="12.75"/>
    <row r="9229" s="23" customFormat="1" ht="12.75"/>
    <row r="9230" s="23" customFormat="1" ht="12.75"/>
    <row r="9231" s="23" customFormat="1" ht="12.75"/>
    <row r="9232" s="23" customFormat="1" ht="12.75"/>
    <row r="9233" s="23" customFormat="1" ht="12.75"/>
    <row r="9234" s="23" customFormat="1" ht="12.75"/>
    <row r="9235" s="23" customFormat="1" ht="12.75"/>
    <row r="9236" s="23" customFormat="1" ht="12.75"/>
    <row r="9237" s="23" customFormat="1" ht="12.75"/>
    <row r="9238" s="23" customFormat="1" ht="12.75"/>
    <row r="9239" s="23" customFormat="1" ht="12.75"/>
    <row r="9240" s="23" customFormat="1" ht="12.75"/>
    <row r="9241" s="23" customFormat="1" ht="12.75"/>
    <row r="9242" s="23" customFormat="1" ht="12.75"/>
    <row r="9243" s="23" customFormat="1" ht="12.75"/>
    <row r="9244" s="23" customFormat="1" ht="12.75"/>
    <row r="9245" s="23" customFormat="1" ht="12.75"/>
    <row r="9246" s="23" customFormat="1" ht="12.75"/>
    <row r="9247" s="23" customFormat="1" ht="12.75"/>
    <row r="9248" s="23" customFormat="1" ht="12.75"/>
    <row r="9249" s="23" customFormat="1" ht="12.75"/>
    <row r="9250" s="23" customFormat="1" ht="12.75"/>
    <row r="9251" s="23" customFormat="1" ht="12.75"/>
    <row r="9252" s="23" customFormat="1" ht="12.75"/>
    <row r="9253" s="23" customFormat="1" ht="12.75"/>
    <row r="9254" s="23" customFormat="1" ht="12.75"/>
    <row r="9255" s="23" customFormat="1" ht="12.75"/>
    <row r="9256" s="23" customFormat="1" ht="12.75"/>
    <row r="9257" s="23" customFormat="1" ht="12.75"/>
    <row r="9258" s="23" customFormat="1" ht="12.75"/>
    <row r="9259" s="23" customFormat="1" ht="12.75"/>
    <row r="9260" s="23" customFormat="1" ht="12.75"/>
    <row r="9261" s="23" customFormat="1" ht="12.75"/>
    <row r="9262" s="23" customFormat="1" ht="12.75"/>
    <row r="9263" s="23" customFormat="1" ht="12.75"/>
    <row r="9264" s="23" customFormat="1" ht="12.75"/>
    <row r="9265" s="23" customFormat="1" ht="12.75"/>
    <row r="9266" s="23" customFormat="1" ht="12.75"/>
    <row r="9267" s="23" customFormat="1" ht="12.75"/>
    <row r="9268" s="23" customFormat="1" ht="12.75"/>
    <row r="9269" s="23" customFormat="1" ht="12.75"/>
    <row r="9270" s="23" customFormat="1" ht="12.75"/>
    <row r="9271" s="23" customFormat="1" ht="12.75"/>
    <row r="9272" s="23" customFormat="1" ht="12.75"/>
    <row r="9273" s="23" customFormat="1" ht="12.75"/>
    <row r="9274" s="23" customFormat="1" ht="12.75"/>
    <row r="9275" s="23" customFormat="1" ht="12.75"/>
    <row r="9276" s="23" customFormat="1" ht="12.75"/>
    <row r="9277" s="23" customFormat="1" ht="12.75"/>
    <row r="9278" s="23" customFormat="1" ht="12.75"/>
    <row r="9279" s="23" customFormat="1" ht="12.75"/>
    <row r="9280" s="23" customFormat="1" ht="12.75"/>
    <row r="9281" s="23" customFormat="1" ht="12.75"/>
    <row r="9282" s="23" customFormat="1" ht="12.75"/>
    <row r="9283" s="23" customFormat="1" ht="12.75"/>
    <row r="9284" s="23" customFormat="1" ht="12.75"/>
    <row r="9285" s="23" customFormat="1" ht="12.75"/>
    <row r="9286" s="23" customFormat="1" ht="12.75"/>
    <row r="9287" s="23" customFormat="1" ht="12.75"/>
    <row r="9288" s="23" customFormat="1" ht="12.75"/>
    <row r="9289" s="23" customFormat="1" ht="12.75"/>
    <row r="9290" s="23" customFormat="1" ht="12.75"/>
    <row r="9291" s="23" customFormat="1" ht="12.75"/>
    <row r="9292" s="23" customFormat="1" ht="12.75"/>
    <row r="9293" s="23" customFormat="1" ht="12.75"/>
    <row r="9294" s="23" customFormat="1" ht="12.75"/>
    <row r="9295" s="23" customFormat="1" ht="12.75"/>
    <row r="9296" s="23" customFormat="1" ht="12.75"/>
    <row r="9297" s="23" customFormat="1" ht="12.75"/>
    <row r="9298" s="23" customFormat="1" ht="12.75"/>
    <row r="9299" s="23" customFormat="1" ht="12.75"/>
    <row r="9300" s="23" customFormat="1" ht="12.75"/>
    <row r="9301" s="23" customFormat="1" ht="12.75"/>
    <row r="9302" s="23" customFormat="1" ht="12.75"/>
    <row r="9303" s="23" customFormat="1" ht="12.75"/>
    <row r="9304" s="23" customFormat="1" ht="12.75"/>
    <row r="9305" s="23" customFormat="1" ht="12.75"/>
    <row r="9306" s="23" customFormat="1" ht="12.75"/>
    <row r="9307" s="23" customFormat="1" ht="12.75"/>
    <row r="9308" s="23" customFormat="1" ht="12.75"/>
    <row r="9309" s="23" customFormat="1" ht="12.75"/>
    <row r="9310" s="23" customFormat="1" ht="12.75"/>
    <row r="9311" s="23" customFormat="1" ht="12.75"/>
    <row r="9312" s="23" customFormat="1" ht="12.75"/>
    <row r="9313" s="23" customFormat="1" ht="12.75"/>
    <row r="9314" s="23" customFormat="1" ht="12.75"/>
    <row r="9315" s="23" customFormat="1" ht="12.75"/>
    <row r="9316" s="23" customFormat="1" ht="12.75"/>
    <row r="9317" s="23" customFormat="1" ht="12.75"/>
    <row r="9318" s="23" customFormat="1" ht="12.75"/>
    <row r="9319" s="23" customFormat="1" ht="12.75"/>
    <row r="9320" s="23" customFormat="1" ht="12.75"/>
    <row r="9321" s="23" customFormat="1" ht="12.75"/>
    <row r="9322" s="23" customFormat="1" ht="12.75"/>
    <row r="9323" s="23" customFormat="1" ht="12.75"/>
    <row r="9324" s="23" customFormat="1" ht="12.75"/>
    <row r="9325" s="23" customFormat="1" ht="12.75"/>
    <row r="9326" s="23" customFormat="1" ht="12.75"/>
    <row r="9327" s="23" customFormat="1" ht="12.75"/>
    <row r="9328" s="23" customFormat="1" ht="12.75"/>
    <row r="9329" s="23" customFormat="1" ht="12.75"/>
    <row r="9330" s="23" customFormat="1" ht="12.75"/>
    <row r="9331" s="23" customFormat="1" ht="12.75"/>
    <row r="9332" s="23" customFormat="1" ht="12.75"/>
    <row r="9333" s="23" customFormat="1" ht="12.75"/>
    <row r="9334" s="23" customFormat="1" ht="12.75"/>
    <row r="9335" s="23" customFormat="1" ht="12.75"/>
    <row r="9336" s="23" customFormat="1" ht="12.75"/>
    <row r="9337" s="23" customFormat="1" ht="12.75"/>
    <row r="9338" s="23" customFormat="1" ht="12.75"/>
    <row r="9339" s="23" customFormat="1" ht="12.75"/>
    <row r="9340" s="23" customFormat="1" ht="12.75"/>
    <row r="9341" s="23" customFormat="1" ht="12.75"/>
    <row r="9342" s="23" customFormat="1" ht="12.75"/>
    <row r="9343" s="23" customFormat="1" ht="12.75"/>
    <row r="9344" s="23" customFormat="1" ht="12.75"/>
    <row r="9345" s="23" customFormat="1" ht="12.75"/>
    <row r="9346" s="23" customFormat="1" ht="12.75"/>
    <row r="9347" s="23" customFormat="1" ht="12.75"/>
    <row r="9348" s="23" customFormat="1" ht="12.75"/>
    <row r="9349" s="23" customFormat="1" ht="12.75"/>
    <row r="9350" s="23" customFormat="1" ht="12.75"/>
    <row r="9351" s="23" customFormat="1" ht="12.75"/>
    <row r="9352" s="23" customFormat="1" ht="12.75"/>
    <row r="9353" s="23" customFormat="1" ht="12.75"/>
    <row r="9354" s="23" customFormat="1" ht="12.75"/>
    <row r="9355" s="23" customFormat="1" ht="12.75"/>
    <row r="9356" s="23" customFormat="1" ht="12.75"/>
    <row r="9357" s="23" customFormat="1" ht="12.75"/>
    <row r="9358" s="23" customFormat="1" ht="12.75"/>
    <row r="9359" s="23" customFormat="1" ht="12.75"/>
    <row r="9360" s="23" customFormat="1" ht="12.75"/>
    <row r="9361" s="23" customFormat="1" ht="12.75"/>
    <row r="9362" s="23" customFormat="1" ht="12.75"/>
    <row r="9363" s="23" customFormat="1" ht="12.75"/>
    <row r="9364" s="23" customFormat="1" ht="12.75"/>
    <row r="9365" s="23" customFormat="1" ht="12.75"/>
    <row r="9366" s="23" customFormat="1" ht="12.75"/>
    <row r="9367" s="23" customFormat="1" ht="12.75"/>
    <row r="9368" s="23" customFormat="1" ht="12.75"/>
    <row r="9369" s="23" customFormat="1" ht="12.75"/>
    <row r="9370" s="23" customFormat="1" ht="12.75"/>
    <row r="9371" s="23" customFormat="1" ht="12.75"/>
    <row r="9372" s="23" customFormat="1" ht="12.75"/>
    <row r="9373" s="23" customFormat="1" ht="12.75"/>
    <row r="9374" s="23" customFormat="1" ht="12.75"/>
    <row r="9375" s="23" customFormat="1" ht="12.75"/>
    <row r="9376" s="23" customFormat="1" ht="12.75"/>
    <row r="9377" s="23" customFormat="1" ht="12.75"/>
    <row r="9378" s="23" customFormat="1" ht="12.75"/>
    <row r="9379" s="23" customFormat="1" ht="12.75"/>
    <row r="9380" s="23" customFormat="1" ht="12.75"/>
    <row r="9381" s="23" customFormat="1" ht="12.75"/>
    <row r="9382" s="23" customFormat="1" ht="12.75"/>
    <row r="9383" s="23" customFormat="1" ht="12.75"/>
    <row r="9384" s="23" customFormat="1" ht="12.75"/>
    <row r="9385" s="23" customFormat="1" ht="12.75"/>
    <row r="9386" s="23" customFormat="1" ht="12.75"/>
    <row r="9387" s="23" customFormat="1" ht="12.75"/>
    <row r="9388" s="23" customFormat="1" ht="12.75"/>
    <row r="9389" s="23" customFormat="1" ht="12.75"/>
    <row r="9390" s="23" customFormat="1" ht="12.75"/>
    <row r="9391" s="23" customFormat="1" ht="12.75"/>
    <row r="9392" s="23" customFormat="1" ht="12.75"/>
    <row r="9393" s="23" customFormat="1" ht="12.75"/>
    <row r="9394" s="23" customFormat="1" ht="12.75"/>
    <row r="9395" s="23" customFormat="1" ht="12.75"/>
    <row r="9396" s="23" customFormat="1" ht="12.75"/>
    <row r="9397" s="23" customFormat="1" ht="12.75"/>
    <row r="9398" s="23" customFormat="1" ht="12.75"/>
    <row r="9399" s="23" customFormat="1" ht="12.75"/>
    <row r="9400" s="23" customFormat="1" ht="12.75"/>
    <row r="9401" s="23" customFormat="1" ht="12.75"/>
    <row r="9402" s="23" customFormat="1" ht="12.75"/>
    <row r="9403" s="23" customFormat="1" ht="12.75"/>
    <row r="9404" s="23" customFormat="1" ht="12.75"/>
    <row r="9405" s="23" customFormat="1" ht="12.75"/>
    <row r="9406" s="23" customFormat="1" ht="12.75"/>
    <row r="9407" s="23" customFormat="1" ht="12.75"/>
    <row r="9408" s="23" customFormat="1" ht="12.75"/>
    <row r="9409" s="23" customFormat="1" ht="12.75"/>
    <row r="9410" s="23" customFormat="1" ht="12.75"/>
    <row r="9411" s="23" customFormat="1" ht="12.75"/>
    <row r="9412" s="23" customFormat="1" ht="12.75"/>
    <row r="9413" s="23" customFormat="1" ht="12.75"/>
    <row r="9414" s="23" customFormat="1" ht="12.75"/>
    <row r="9415" s="23" customFormat="1" ht="12.75"/>
    <row r="9416" s="23" customFormat="1" ht="12.75"/>
    <row r="9417" s="23" customFormat="1" ht="12.75"/>
    <row r="9418" s="23" customFormat="1" ht="12.75"/>
    <row r="9419" s="23" customFormat="1" ht="12.75"/>
    <row r="9420" s="23" customFormat="1" ht="12.75"/>
    <row r="9421" s="23" customFormat="1" ht="12.75"/>
    <row r="9422" s="23" customFormat="1" ht="12.75"/>
    <row r="9423" s="23" customFormat="1" ht="12.75"/>
    <row r="9424" s="23" customFormat="1" ht="12.75"/>
    <row r="9425" s="23" customFormat="1" ht="12.75"/>
    <row r="9426" s="23" customFormat="1" ht="12.75"/>
    <row r="9427" s="23" customFormat="1" ht="12.75"/>
    <row r="9428" s="23" customFormat="1" ht="12.75"/>
    <row r="9429" s="23" customFormat="1" ht="12.75"/>
    <row r="9430" s="23" customFormat="1" ht="12.75"/>
    <row r="9431" s="23" customFormat="1" ht="12.75"/>
    <row r="9432" s="23" customFormat="1" ht="12.75"/>
    <row r="9433" s="23" customFormat="1" ht="12.75"/>
    <row r="9434" s="23" customFormat="1" ht="12.75"/>
    <row r="9435" s="23" customFormat="1" ht="12.75"/>
    <row r="9436" s="23" customFormat="1" ht="12.75"/>
    <row r="9437" s="23" customFormat="1" ht="12.75"/>
    <row r="9438" s="23" customFormat="1" ht="12.75"/>
    <row r="9439" s="23" customFormat="1" ht="12.75"/>
    <row r="9440" s="23" customFormat="1" ht="12.75"/>
    <row r="9441" s="23" customFormat="1" ht="12.75"/>
    <row r="9442" s="23" customFormat="1" ht="12.75"/>
    <row r="9443" s="23" customFormat="1" ht="12.75"/>
    <row r="9444" s="23" customFormat="1" ht="12.75"/>
    <row r="9445" s="23" customFormat="1" ht="12.75"/>
    <row r="9446" s="23" customFormat="1" ht="12.75"/>
    <row r="9447" s="23" customFormat="1" ht="12.75"/>
    <row r="9448" s="23" customFormat="1" ht="12.75"/>
    <row r="9449" s="23" customFormat="1" ht="12.75"/>
    <row r="9450" s="23" customFormat="1" ht="12.75"/>
    <row r="9451" s="23" customFormat="1" ht="12.75"/>
    <row r="9452" s="23" customFormat="1" ht="12.75"/>
    <row r="9453" s="23" customFormat="1" ht="12.75"/>
    <row r="9454" s="23" customFormat="1" ht="12.75"/>
    <row r="9455" s="23" customFormat="1" ht="12.75"/>
    <row r="9456" s="23" customFormat="1" ht="12.75"/>
    <row r="9457" s="23" customFormat="1" ht="12.75"/>
    <row r="9458" s="23" customFormat="1" ht="12.75"/>
    <row r="9459" s="23" customFormat="1" ht="12.75"/>
    <row r="9460" s="23" customFormat="1" ht="12.75"/>
    <row r="9461" s="23" customFormat="1" ht="12.75"/>
    <row r="9462" s="23" customFormat="1" ht="12.75"/>
    <row r="9463" s="23" customFormat="1" ht="12.75"/>
    <row r="9464" s="23" customFormat="1" ht="12.75"/>
    <row r="9465" s="23" customFormat="1" ht="12.75"/>
    <row r="9466" s="23" customFormat="1" ht="12.75"/>
    <row r="9467" s="23" customFormat="1" ht="12.75"/>
    <row r="9468" s="23" customFormat="1" ht="12.75"/>
    <row r="9469" s="23" customFormat="1" ht="12.75"/>
    <row r="9470" s="23" customFormat="1" ht="12.75"/>
    <row r="9471" s="23" customFormat="1" ht="12.75"/>
    <row r="9472" s="23" customFormat="1" ht="12.75"/>
    <row r="9473" s="23" customFormat="1" ht="12.75"/>
    <row r="9474" s="23" customFormat="1" ht="12.75"/>
    <row r="9475" s="23" customFormat="1" ht="12.75"/>
    <row r="9476" s="23" customFormat="1" ht="12.75"/>
    <row r="9477" s="23" customFormat="1" ht="12.75"/>
    <row r="9478" s="23" customFormat="1" ht="12.75"/>
    <row r="9479" s="23" customFormat="1" ht="12.75"/>
    <row r="9480" s="23" customFormat="1" ht="12.75"/>
    <row r="9481" s="23" customFormat="1" ht="12.75"/>
    <row r="9482" s="23" customFormat="1" ht="12.75"/>
    <row r="9483" s="23" customFormat="1" ht="12.75"/>
    <row r="9484" s="23" customFormat="1" ht="12.75"/>
    <row r="9485" s="23" customFormat="1" ht="12.75"/>
    <row r="9486" s="23" customFormat="1" ht="12.75"/>
    <row r="9487" s="23" customFormat="1" ht="12.75"/>
    <row r="9488" s="23" customFormat="1" ht="12.75"/>
    <row r="9489" s="23" customFormat="1" ht="12.75"/>
    <row r="9490" s="23" customFormat="1" ht="12.75"/>
    <row r="9491" s="23" customFormat="1" ht="12.75"/>
    <row r="9492" s="23" customFormat="1" ht="12.75"/>
    <row r="9493" s="23" customFormat="1" ht="12.75"/>
    <row r="9494" s="23" customFormat="1" ht="12.75"/>
    <row r="9495" s="23" customFormat="1" ht="12.75"/>
    <row r="9496" s="23" customFormat="1" ht="12.75"/>
    <row r="9497" s="23" customFormat="1" ht="12.75"/>
    <row r="9498" s="23" customFormat="1" ht="12.75"/>
    <row r="9499" s="23" customFormat="1" ht="12.75"/>
    <row r="9500" s="23" customFormat="1" ht="12.75"/>
    <row r="9501" s="23" customFormat="1" ht="12.75"/>
    <row r="9502" s="23" customFormat="1" ht="12.75"/>
    <row r="9503" s="23" customFormat="1" ht="12.75"/>
    <row r="9504" s="23" customFormat="1" ht="12.75"/>
    <row r="9505" s="23" customFormat="1" ht="12.75"/>
    <row r="9506" s="23" customFormat="1" ht="12.75"/>
    <row r="9507" s="23" customFormat="1" ht="12.75"/>
    <row r="9508" s="23" customFormat="1" ht="12.75"/>
    <row r="9509" s="23" customFormat="1" ht="12.75"/>
    <row r="9510" s="23" customFormat="1" ht="12.75"/>
    <row r="9511" s="23" customFormat="1" ht="12.75"/>
    <row r="9512" s="23" customFormat="1" ht="12.75"/>
    <row r="9513" s="23" customFormat="1" ht="12.75"/>
    <row r="9514" s="23" customFormat="1" ht="12.75"/>
    <row r="9515" s="23" customFormat="1" ht="12.75"/>
    <row r="9516" s="23" customFormat="1" ht="12.75"/>
    <row r="9517" s="23" customFormat="1" ht="12.75"/>
    <row r="9518" s="23" customFormat="1" ht="12.75"/>
    <row r="9519" s="23" customFormat="1" ht="12.75"/>
    <row r="9520" s="23" customFormat="1" ht="12.75"/>
    <row r="9521" s="23" customFormat="1" ht="12.75"/>
    <row r="9522" s="23" customFormat="1" ht="12.75"/>
    <row r="9523" s="23" customFormat="1" ht="12.75"/>
    <row r="9524" s="23" customFormat="1" ht="12.75"/>
    <row r="9525" s="23" customFormat="1" ht="12.75"/>
    <row r="9526" s="23" customFormat="1" ht="12.75"/>
    <row r="9527" s="23" customFormat="1" ht="12.75"/>
    <row r="9528" s="23" customFormat="1" ht="12.75"/>
    <row r="9529" s="23" customFormat="1" ht="12.75"/>
    <row r="9530" s="23" customFormat="1" ht="12.75"/>
    <row r="9531" s="23" customFormat="1" ht="12.75"/>
    <row r="9532" s="23" customFormat="1" ht="12.75"/>
    <row r="9533" s="23" customFormat="1" ht="12.75"/>
    <row r="9534" s="23" customFormat="1" ht="12.75"/>
    <row r="9535" s="23" customFormat="1" ht="12.75"/>
    <row r="9536" s="23" customFormat="1" ht="12.75"/>
    <row r="9537" s="23" customFormat="1" ht="12.75"/>
    <row r="9538" s="23" customFormat="1" ht="12.75"/>
    <row r="9539" s="23" customFormat="1" ht="12.75"/>
    <row r="9540" s="23" customFormat="1" ht="12.75"/>
    <row r="9541" s="23" customFormat="1" ht="12.75"/>
    <row r="9542" s="23" customFormat="1" ht="12.75"/>
    <row r="9543" s="23" customFormat="1" ht="12.75"/>
    <row r="9544" s="23" customFormat="1" ht="12.75"/>
    <row r="9545" s="23" customFormat="1" ht="12.75"/>
    <row r="9546" s="23" customFormat="1" ht="12.75"/>
    <row r="9547" s="23" customFormat="1" ht="12.75"/>
    <row r="9548" s="23" customFormat="1" ht="12.75"/>
    <row r="9549" s="23" customFormat="1" ht="12.75"/>
    <row r="9550" s="23" customFormat="1" ht="12.75"/>
    <row r="9551" s="23" customFormat="1" ht="12.75"/>
    <row r="9552" s="23" customFormat="1" ht="12.75"/>
    <row r="9553" s="23" customFormat="1" ht="12.75"/>
    <row r="9554" s="23" customFormat="1" ht="12.75"/>
    <row r="9555" s="23" customFormat="1" ht="12.75"/>
    <row r="9556" s="23" customFormat="1" ht="12.75"/>
    <row r="9557" s="23" customFormat="1" ht="12.75"/>
    <row r="9558" s="23" customFormat="1" ht="12.75"/>
    <row r="9559" s="23" customFormat="1" ht="12.75"/>
    <row r="9560" s="23" customFormat="1" ht="12.75"/>
    <row r="9561" s="23" customFormat="1" ht="12.75"/>
    <row r="9562" s="23" customFormat="1" ht="12.75"/>
    <row r="9563" s="23" customFormat="1" ht="12.75"/>
    <row r="9564" s="23" customFormat="1" ht="12.75"/>
    <row r="9565" s="23" customFormat="1" ht="12.75"/>
    <row r="9566" s="23" customFormat="1" ht="12.75"/>
    <row r="9567" s="23" customFormat="1" ht="12.75"/>
    <row r="9568" s="23" customFormat="1" ht="12.75"/>
    <row r="9569" s="23" customFormat="1" ht="12.75"/>
    <row r="9570" s="23" customFormat="1" ht="12.75"/>
    <row r="9571" s="23" customFormat="1" ht="12.75"/>
    <row r="9572" s="23" customFormat="1" ht="12.75"/>
    <row r="9573" s="23" customFormat="1" ht="12.75"/>
    <row r="9574" s="23" customFormat="1" ht="12.75"/>
    <row r="9575" s="23" customFormat="1" ht="12.75"/>
    <row r="9576" s="23" customFormat="1" ht="12.75"/>
    <row r="9577" s="23" customFormat="1" ht="12.75"/>
    <row r="9578" s="23" customFormat="1" ht="12.75"/>
    <row r="9579" s="23" customFormat="1" ht="12.75"/>
    <row r="9580" s="23" customFormat="1" ht="12.75"/>
    <row r="9581" s="23" customFormat="1" ht="12.75"/>
    <row r="9582" s="23" customFormat="1" ht="12.75"/>
    <row r="9583" s="23" customFormat="1" ht="12.75"/>
    <row r="9584" s="23" customFormat="1" ht="12.75"/>
    <row r="9585" s="23" customFormat="1" ht="12.75"/>
    <row r="9586" s="23" customFormat="1" ht="12.75"/>
    <row r="9587" s="23" customFormat="1" ht="12.75"/>
    <row r="9588" s="23" customFormat="1" ht="12.75"/>
    <row r="9589" s="23" customFormat="1" ht="12.75"/>
    <row r="9590" s="23" customFormat="1" ht="12.75"/>
    <row r="9591" s="23" customFormat="1" ht="12.75"/>
    <row r="9592" s="23" customFormat="1" ht="12.75"/>
    <row r="9593" s="23" customFormat="1" ht="12.75"/>
    <row r="9594" s="23" customFormat="1" ht="12.75"/>
    <row r="9595" s="23" customFormat="1" ht="12.75"/>
    <row r="9596" s="23" customFormat="1" ht="12.75"/>
    <row r="9597" s="23" customFormat="1" ht="12.75"/>
    <row r="9598" s="23" customFormat="1" ht="12.75"/>
    <row r="9599" s="23" customFormat="1" ht="12.75"/>
    <row r="9600" s="23" customFormat="1" ht="12.75"/>
    <row r="9601" s="23" customFormat="1" ht="12.75"/>
    <row r="9602" s="23" customFormat="1" ht="12.75"/>
    <row r="9603" s="23" customFormat="1" ht="12.75"/>
    <row r="9604" s="23" customFormat="1" ht="12.75"/>
    <row r="9605" s="23" customFormat="1" ht="12.75"/>
    <row r="9606" s="23" customFormat="1" ht="12.75"/>
    <row r="9607" s="23" customFormat="1" ht="12.75"/>
    <row r="9608" s="23" customFormat="1" ht="12.75"/>
    <row r="9609" s="23" customFormat="1" ht="12.75"/>
    <row r="9610" s="23" customFormat="1" ht="12.75"/>
    <row r="9611" s="23" customFormat="1" ht="12.75"/>
    <row r="9612" s="23" customFormat="1" ht="12.75"/>
    <row r="9613" s="23" customFormat="1" ht="12.75"/>
    <row r="9614" s="23" customFormat="1" ht="12.75"/>
    <row r="9615" s="23" customFormat="1" ht="12.75"/>
    <row r="9616" s="23" customFormat="1" ht="12.75"/>
    <row r="9617" s="23" customFormat="1" ht="12.75"/>
    <row r="9618" s="23" customFormat="1" ht="12.75"/>
    <row r="9619" s="23" customFormat="1" ht="12.75"/>
    <row r="9620" s="23" customFormat="1" ht="12.75"/>
    <row r="9621" s="23" customFormat="1" ht="12.75"/>
    <row r="9622" s="23" customFormat="1" ht="12.75"/>
    <row r="9623" s="23" customFormat="1" ht="12.75"/>
    <row r="9624" s="23" customFormat="1" ht="12.75"/>
    <row r="9625" s="23" customFormat="1" ht="12.75"/>
    <row r="9626" s="23" customFormat="1" ht="12.75"/>
    <row r="9627" s="23" customFormat="1" ht="12.75"/>
    <row r="9628" s="23" customFormat="1" ht="12.75"/>
    <row r="9629" s="23" customFormat="1" ht="12.75"/>
    <row r="9630" s="23" customFormat="1" ht="12.75"/>
    <row r="9631" s="23" customFormat="1" ht="12.75"/>
    <row r="9632" s="23" customFormat="1" ht="12.75"/>
    <row r="9633" s="23" customFormat="1" ht="12.75"/>
    <row r="9634" s="23" customFormat="1" ht="12.75"/>
    <row r="9635" s="23" customFormat="1" ht="12.75"/>
    <row r="9636" s="23" customFormat="1" ht="12.75"/>
    <row r="9637" s="23" customFormat="1" ht="12.75"/>
    <row r="9638" s="23" customFormat="1" ht="12.75"/>
    <row r="9639" s="23" customFormat="1" ht="12.75"/>
    <row r="9640" s="23" customFormat="1" ht="12.75"/>
    <row r="9641" s="23" customFormat="1" ht="12.75"/>
    <row r="9642" s="23" customFormat="1" ht="12.75"/>
    <row r="9643" s="23" customFormat="1" ht="12.75"/>
    <row r="9644" s="23" customFormat="1" ht="12.75"/>
    <row r="9645" s="23" customFormat="1" ht="12.75"/>
    <row r="9646" s="23" customFormat="1" ht="12.75"/>
    <row r="9647" s="23" customFormat="1" ht="12.75"/>
    <row r="9648" s="23" customFormat="1" ht="12.75"/>
    <row r="9649" s="23" customFormat="1" ht="12.75"/>
    <row r="9650" s="23" customFormat="1" ht="12.75"/>
    <row r="9651" s="23" customFormat="1" ht="12.75"/>
    <row r="9652" s="23" customFormat="1" ht="12.75"/>
    <row r="9653" s="23" customFormat="1" ht="12.75"/>
    <row r="9654" s="23" customFormat="1" ht="12.75"/>
    <row r="9655" s="23" customFormat="1" ht="12.75"/>
    <row r="9656" s="23" customFormat="1" ht="12.75"/>
    <row r="9657" s="23" customFormat="1" ht="12.75"/>
    <row r="9658" s="23" customFormat="1" ht="12.75"/>
    <row r="9659" s="23" customFormat="1" ht="12.75"/>
    <row r="9660" s="23" customFormat="1" ht="12.75"/>
    <row r="9661" s="23" customFormat="1" ht="12.75"/>
    <row r="9662" s="23" customFormat="1" ht="12.75"/>
    <row r="9663" s="23" customFormat="1" ht="12.75"/>
    <row r="9664" s="23" customFormat="1" ht="12.75"/>
    <row r="9665" s="23" customFormat="1" ht="12.75"/>
    <row r="9666" s="23" customFormat="1" ht="12.75"/>
    <row r="9667" s="23" customFormat="1" ht="12.75"/>
    <row r="9668" s="23" customFormat="1" ht="12.75"/>
    <row r="9669" s="23" customFormat="1" ht="12.75"/>
    <row r="9670" s="23" customFormat="1" ht="12.75"/>
    <row r="9671" s="23" customFormat="1" ht="12.75"/>
    <row r="9672" s="23" customFormat="1" ht="12.75"/>
    <row r="9673" s="23" customFormat="1" ht="12.75"/>
    <row r="9674" s="23" customFormat="1" ht="12.75"/>
    <row r="9675" s="23" customFormat="1" ht="12.75"/>
    <row r="9676" s="23" customFormat="1" ht="12.75"/>
    <row r="9677" s="23" customFormat="1" ht="12.75"/>
    <row r="9678" s="23" customFormat="1" ht="12.75"/>
    <row r="9679" s="23" customFormat="1" ht="12.75"/>
    <row r="9680" s="23" customFormat="1" ht="12.75"/>
    <row r="9681" s="23" customFormat="1" ht="12.75"/>
    <row r="9682" s="23" customFormat="1" ht="12.75"/>
    <row r="9683" s="23" customFormat="1" ht="12.75"/>
    <row r="9684" s="23" customFormat="1" ht="12.75"/>
    <row r="9685" s="23" customFormat="1" ht="12.75"/>
    <row r="9686" s="23" customFormat="1" ht="12.75"/>
    <row r="9687" s="23" customFormat="1" ht="12.75"/>
    <row r="9688" s="23" customFormat="1" ht="12.75"/>
    <row r="9689" s="23" customFormat="1" ht="12.75"/>
    <row r="9690" s="23" customFormat="1" ht="12.75"/>
    <row r="9691" s="23" customFormat="1" ht="12.75"/>
    <row r="9692" s="23" customFormat="1" ht="12.75"/>
    <row r="9693" s="23" customFormat="1" ht="12.75"/>
    <row r="9694" s="23" customFormat="1" ht="12.75"/>
    <row r="9695" s="23" customFormat="1" ht="12.75"/>
    <row r="9696" s="23" customFormat="1" ht="12.75"/>
    <row r="9697" s="23" customFormat="1" ht="12.75"/>
    <row r="9698" s="23" customFormat="1" ht="12.75"/>
    <row r="9699" s="23" customFormat="1" ht="12.75"/>
    <row r="9700" s="23" customFormat="1" ht="12.75"/>
    <row r="9701" s="23" customFormat="1" ht="12.75"/>
    <row r="9702" s="23" customFormat="1" ht="12.75"/>
    <row r="9703" s="23" customFormat="1" ht="12.75"/>
    <row r="9704" s="23" customFormat="1" ht="12.75"/>
    <row r="9705" s="23" customFormat="1" ht="12.75"/>
    <row r="9706" s="23" customFormat="1" ht="12.75"/>
    <row r="9707" s="23" customFormat="1" ht="12.75"/>
    <row r="9708" s="23" customFormat="1" ht="12.75"/>
    <row r="9709" s="23" customFormat="1" ht="12.75"/>
    <row r="9710" s="23" customFormat="1" ht="12.75"/>
    <row r="9711" s="23" customFormat="1" ht="12.75"/>
    <row r="9712" s="23" customFormat="1" ht="12.75"/>
    <row r="9713" s="23" customFormat="1" ht="12.75"/>
    <row r="9714" s="23" customFormat="1" ht="12.75"/>
    <row r="9715" s="23" customFormat="1" ht="12.75"/>
    <row r="9716" s="23" customFormat="1" ht="12.75"/>
    <row r="9717" s="23" customFormat="1" ht="12.75"/>
    <row r="9718" s="23" customFormat="1" ht="12.75"/>
    <row r="9719" s="23" customFormat="1" ht="12.75"/>
    <row r="9720" s="23" customFormat="1" ht="12.75"/>
    <row r="9721" s="23" customFormat="1" ht="12.75"/>
    <row r="9722" s="23" customFormat="1" ht="12.75"/>
    <row r="9723" s="23" customFormat="1" ht="12.75"/>
    <row r="9724" s="23" customFormat="1" ht="12.75"/>
    <row r="9725" s="23" customFormat="1" ht="12.75"/>
    <row r="9726" s="23" customFormat="1" ht="12.75"/>
    <row r="9727" s="23" customFormat="1" ht="12.75"/>
    <row r="9728" s="23" customFormat="1" ht="12.75"/>
    <row r="9729" s="23" customFormat="1" ht="12.75"/>
    <row r="9730" s="23" customFormat="1" ht="12.75"/>
    <row r="9731" s="23" customFormat="1" ht="12.75"/>
    <row r="9732" s="23" customFormat="1" ht="12.75"/>
    <row r="9733" s="23" customFormat="1" ht="12.75"/>
    <row r="9734" s="23" customFormat="1" ht="12.75"/>
    <row r="9735" s="23" customFormat="1" ht="12.75"/>
    <row r="9736" s="23" customFormat="1" ht="12.75"/>
    <row r="9737" s="23" customFormat="1" ht="12.75"/>
    <row r="9738" s="23" customFormat="1" ht="12.75"/>
    <row r="9739" s="23" customFormat="1" ht="12.75"/>
    <row r="9740" s="23" customFormat="1" ht="12.75"/>
    <row r="9741" s="23" customFormat="1" ht="12.75"/>
    <row r="9742" s="23" customFormat="1" ht="12.75"/>
    <row r="9743" s="23" customFormat="1" ht="12.75"/>
    <row r="9744" s="23" customFormat="1" ht="12.75"/>
    <row r="9745" s="23" customFormat="1" ht="12.75"/>
    <row r="9746" s="23" customFormat="1" ht="12.75"/>
    <row r="9747" s="23" customFormat="1" ht="12.75"/>
    <row r="9748" s="23" customFormat="1" ht="12.75"/>
    <row r="9749" s="23" customFormat="1" ht="12.75"/>
    <row r="9750" s="23" customFormat="1" ht="12.75"/>
    <row r="9751" s="23" customFormat="1" ht="12.75"/>
    <row r="9752" s="23" customFormat="1" ht="12.75"/>
    <row r="9753" s="23" customFormat="1" ht="12.75"/>
    <row r="9754" s="23" customFormat="1" ht="12.75"/>
    <row r="9755" s="23" customFormat="1" ht="12.75"/>
    <row r="9756" s="23" customFormat="1" ht="12.75"/>
    <row r="9757" s="23" customFormat="1" ht="12.75"/>
    <row r="9758" s="23" customFormat="1" ht="12.75"/>
    <row r="9759" s="23" customFormat="1" ht="12.75"/>
    <row r="9760" s="23" customFormat="1" ht="12.75"/>
    <row r="9761" s="23" customFormat="1" ht="12.75"/>
    <row r="9762" s="23" customFormat="1" ht="12.75"/>
    <row r="9763" s="23" customFormat="1" ht="12.75"/>
    <row r="9764" s="23" customFormat="1" ht="12.75"/>
    <row r="9765" s="23" customFormat="1" ht="12.75"/>
    <row r="9766" s="23" customFormat="1" ht="12.75"/>
    <row r="9767" s="23" customFormat="1" ht="12.75"/>
    <row r="9768" s="23" customFormat="1" ht="12.75"/>
    <row r="9769" s="23" customFormat="1" ht="12.75"/>
    <row r="9770" s="23" customFormat="1" ht="12.75"/>
    <row r="9771" s="23" customFormat="1" ht="12.75"/>
    <row r="9772" s="23" customFormat="1" ht="12.75"/>
    <row r="9773" s="23" customFormat="1" ht="12.75"/>
    <row r="9774" s="23" customFormat="1" ht="12.75"/>
    <row r="9775" s="23" customFormat="1" ht="12.75"/>
    <row r="9776" s="23" customFormat="1" ht="12.75"/>
    <row r="9777" s="23" customFormat="1" ht="12.75"/>
    <row r="9778" s="23" customFormat="1" ht="12.75"/>
    <row r="9779" s="23" customFormat="1" ht="12.75"/>
    <row r="9780" s="23" customFormat="1" ht="12.75"/>
    <row r="9781" s="23" customFormat="1" ht="12.75"/>
    <row r="9782" s="23" customFormat="1" ht="12.75"/>
    <row r="9783" s="23" customFormat="1" ht="12.75"/>
    <row r="9784" s="23" customFormat="1" ht="12.75"/>
    <row r="9785" s="23" customFormat="1" ht="12.75"/>
    <row r="9786" s="23" customFormat="1" ht="12.75"/>
    <row r="9787" s="23" customFormat="1" ht="12.75"/>
    <row r="9788" s="23" customFormat="1" ht="12.75"/>
    <row r="9789" s="23" customFormat="1" ht="12.75"/>
    <row r="9790" s="23" customFormat="1" ht="12.75"/>
    <row r="9791" s="23" customFormat="1" ht="12.75"/>
    <row r="9792" s="23" customFormat="1" ht="12.75"/>
    <row r="9793" s="23" customFormat="1" ht="12.75"/>
    <row r="9794" s="23" customFormat="1" ht="12.75"/>
    <row r="9795" s="23" customFormat="1" ht="12.75"/>
    <row r="9796" s="23" customFormat="1" ht="12.75"/>
    <row r="9797" s="23" customFormat="1" ht="12.75"/>
    <row r="9798" s="23" customFormat="1" ht="12.75"/>
    <row r="9799" s="23" customFormat="1" ht="12.75"/>
    <row r="9800" s="23" customFormat="1" ht="12.75"/>
    <row r="9801" s="23" customFormat="1" ht="12.75"/>
    <row r="9802" s="23" customFormat="1" ht="12.75"/>
    <row r="9803" s="23" customFormat="1" ht="12.75"/>
    <row r="9804" s="23" customFormat="1" ht="12.75"/>
    <row r="9805" s="23" customFormat="1" ht="12.75"/>
    <row r="9806" s="23" customFormat="1" ht="12.75"/>
    <row r="9807" s="23" customFormat="1" ht="12.75"/>
    <row r="9808" s="23" customFormat="1" ht="12.75"/>
    <row r="9809" s="23" customFormat="1" ht="12.75"/>
    <row r="9810" s="23" customFormat="1" ht="12.75"/>
    <row r="9811" s="23" customFormat="1" ht="12.75"/>
    <row r="9812" s="23" customFormat="1" ht="12.75"/>
    <row r="9813" s="23" customFormat="1" ht="12.75"/>
    <row r="9814" s="23" customFormat="1" ht="12.75"/>
    <row r="9815" s="23" customFormat="1" ht="12.75"/>
    <row r="9816" s="23" customFormat="1" ht="12.75"/>
    <row r="9817" s="23" customFormat="1" ht="12.75"/>
    <row r="9818" s="23" customFormat="1" ht="12.75"/>
    <row r="9819" s="23" customFormat="1" ht="12.75"/>
    <row r="9820" s="23" customFormat="1" ht="12.75"/>
    <row r="9821" s="23" customFormat="1" ht="12.75"/>
    <row r="9822" s="23" customFormat="1" ht="12.75"/>
    <row r="9823" s="23" customFormat="1" ht="12.75"/>
    <row r="9824" s="23" customFormat="1" ht="12.75"/>
    <row r="9825" s="23" customFormat="1" ht="12.75"/>
    <row r="9826" s="23" customFormat="1" ht="12.75"/>
    <row r="9827" s="23" customFormat="1" ht="12.75"/>
    <row r="9828" s="23" customFormat="1" ht="12.75"/>
    <row r="9829" s="23" customFormat="1" ht="12.75"/>
    <row r="9830" s="23" customFormat="1" ht="12.75"/>
    <row r="9831" s="23" customFormat="1" ht="12.75"/>
    <row r="9832" s="23" customFormat="1" ht="12.75"/>
    <row r="9833" s="23" customFormat="1" ht="12.75"/>
    <row r="9834" s="23" customFormat="1" ht="12.75"/>
    <row r="9835" s="23" customFormat="1" ht="12.75"/>
    <row r="9836" s="23" customFormat="1" ht="12.75"/>
    <row r="9837" s="23" customFormat="1" ht="12.75"/>
    <row r="9838" s="23" customFormat="1" ht="12.75"/>
    <row r="9839" s="23" customFormat="1" ht="12.75"/>
    <row r="9840" s="23" customFormat="1" ht="12.75"/>
    <row r="9841" s="23" customFormat="1" ht="12.75"/>
    <row r="9842" s="23" customFormat="1" ht="12.75"/>
    <row r="9843" s="23" customFormat="1" ht="12.75"/>
    <row r="9844" s="23" customFormat="1" ht="12.75"/>
    <row r="9845" s="23" customFormat="1" ht="12.75"/>
    <row r="9846" s="23" customFormat="1" ht="12.75"/>
    <row r="9847" s="23" customFormat="1" ht="12.75"/>
    <row r="9848" s="23" customFormat="1" ht="12.75"/>
    <row r="9849" s="23" customFormat="1" ht="12.75"/>
    <row r="9850" s="23" customFormat="1" ht="12.75"/>
    <row r="9851" s="23" customFormat="1" ht="12.75"/>
    <row r="9852" s="23" customFormat="1" ht="12.75"/>
    <row r="9853" s="23" customFormat="1" ht="12.75"/>
    <row r="9854" s="23" customFormat="1" ht="12.75"/>
    <row r="9855" s="23" customFormat="1" ht="12.75"/>
    <row r="9856" s="23" customFormat="1" ht="12.75"/>
    <row r="9857" s="23" customFormat="1" ht="12.75"/>
    <row r="9858" s="23" customFormat="1" ht="12.75"/>
    <row r="9859" s="23" customFormat="1" ht="12.75"/>
    <row r="9860" s="23" customFormat="1" ht="12.75"/>
    <row r="9861" s="23" customFormat="1" ht="12.75"/>
    <row r="9862" s="23" customFormat="1" ht="12.75"/>
    <row r="9863" s="23" customFormat="1" ht="12.75"/>
    <row r="9864" s="23" customFormat="1" ht="12.75"/>
    <row r="9865" s="23" customFormat="1" ht="12.75"/>
    <row r="9866" s="23" customFormat="1" ht="12.75"/>
    <row r="9867" s="23" customFormat="1" ht="12.75"/>
    <row r="9868" s="23" customFormat="1" ht="12.75"/>
    <row r="9869" s="23" customFormat="1" ht="12.75"/>
    <row r="9870" s="23" customFormat="1" ht="12.75"/>
    <row r="9871" s="23" customFormat="1" ht="12.75"/>
    <row r="9872" s="23" customFormat="1" ht="12.75"/>
    <row r="9873" s="23" customFormat="1" ht="12.75"/>
    <row r="9874" s="23" customFormat="1" ht="12.75"/>
    <row r="9875" s="23" customFormat="1" ht="12.75"/>
    <row r="9876" s="23" customFormat="1" ht="12.75"/>
    <row r="9877" s="23" customFormat="1" ht="12.75"/>
    <row r="9878" s="23" customFormat="1" ht="12.75"/>
    <row r="9879" s="23" customFormat="1" ht="12.75"/>
    <row r="9880" s="23" customFormat="1" ht="12.75"/>
    <row r="9881" s="23" customFormat="1" ht="12.75"/>
    <row r="9882" s="23" customFormat="1" ht="12.75"/>
    <row r="9883" s="23" customFormat="1" ht="12.75"/>
    <row r="9884" s="23" customFormat="1" ht="12.75"/>
    <row r="9885" s="23" customFormat="1" ht="12.75"/>
    <row r="9886" s="23" customFormat="1" ht="12.75"/>
    <row r="9887" s="23" customFormat="1" ht="12.75"/>
    <row r="9888" s="23" customFormat="1" ht="12.75"/>
    <row r="9889" s="23" customFormat="1" ht="12.75"/>
    <row r="9890" s="23" customFormat="1" ht="12.75"/>
    <row r="9891" s="23" customFormat="1" ht="12.75"/>
    <row r="9892" s="23" customFormat="1" ht="12.75"/>
    <row r="9893" s="23" customFormat="1" ht="12.75"/>
    <row r="9894" s="23" customFormat="1" ht="12.75"/>
    <row r="9895" s="23" customFormat="1" ht="12.75"/>
    <row r="9896" s="23" customFormat="1" ht="12.75"/>
    <row r="9897" s="23" customFormat="1" ht="12.75"/>
    <row r="9898" s="23" customFormat="1" ht="12.75"/>
    <row r="9899" s="23" customFormat="1" ht="12.75"/>
    <row r="9900" s="23" customFormat="1" ht="12.75"/>
    <row r="9901" s="23" customFormat="1" ht="12.75"/>
    <row r="9902" s="23" customFormat="1" ht="12.75"/>
    <row r="9903" s="23" customFormat="1" ht="12.75"/>
    <row r="9904" s="23" customFormat="1" ht="12.75"/>
    <row r="9905" s="23" customFormat="1" ht="12.75"/>
    <row r="9906" s="23" customFormat="1" ht="12.75"/>
    <row r="9907" s="23" customFormat="1" ht="12.75"/>
    <row r="9908" s="23" customFormat="1" ht="12.75"/>
    <row r="9909" s="23" customFormat="1" ht="12.75"/>
    <row r="9910" s="23" customFormat="1" ht="12.75"/>
    <row r="9911" s="23" customFormat="1" ht="12.75"/>
    <row r="9912" s="23" customFormat="1" ht="12.75"/>
    <row r="9913" s="23" customFormat="1" ht="12.75"/>
    <row r="9914" s="23" customFormat="1" ht="12.75"/>
    <row r="9915" s="23" customFormat="1" ht="12.75"/>
    <row r="9916" s="23" customFormat="1" ht="12.75"/>
    <row r="9917" s="23" customFormat="1" ht="12.75"/>
    <row r="9918" s="23" customFormat="1" ht="12.75"/>
    <row r="9919" s="23" customFormat="1" ht="12.75"/>
    <row r="9920" s="23" customFormat="1" ht="12.75"/>
    <row r="9921" s="23" customFormat="1" ht="12.75"/>
    <row r="9922" s="23" customFormat="1" ht="12.75"/>
    <row r="9923" s="23" customFormat="1" ht="12.75"/>
    <row r="9924" s="23" customFormat="1" ht="12.75"/>
    <row r="9925" s="23" customFormat="1" ht="12.75"/>
    <row r="9926" s="23" customFormat="1" ht="12.75"/>
    <row r="9927" s="23" customFormat="1" ht="12.75"/>
    <row r="9928" s="23" customFormat="1" ht="12.75"/>
    <row r="9929" s="23" customFormat="1" ht="12.75"/>
    <row r="9930" s="23" customFormat="1" ht="12.75"/>
    <row r="9931" s="23" customFormat="1" ht="12.75"/>
    <row r="9932" s="23" customFormat="1" ht="12.75"/>
    <row r="9933" s="23" customFormat="1" ht="12.75"/>
    <row r="9934" s="23" customFormat="1" ht="12.75"/>
    <row r="9935" s="23" customFormat="1" ht="12.75"/>
    <row r="9936" s="23" customFormat="1" ht="12.75"/>
    <row r="9937" s="23" customFormat="1" ht="12.75"/>
    <row r="9938" s="23" customFormat="1" ht="12.75"/>
    <row r="9939" s="23" customFormat="1" ht="12.75"/>
    <row r="9940" s="23" customFormat="1" ht="12.75"/>
    <row r="9941" s="23" customFormat="1" ht="12.75"/>
    <row r="9942" s="23" customFormat="1" ht="12.75"/>
    <row r="9943" s="23" customFormat="1" ht="12.75"/>
    <row r="9944" s="23" customFormat="1" ht="12.75"/>
    <row r="9945" s="23" customFormat="1" ht="12.75"/>
    <row r="9946" s="23" customFormat="1" ht="12.75"/>
    <row r="9947" s="23" customFormat="1" ht="12.75"/>
    <row r="9948" s="23" customFormat="1" ht="12.75"/>
    <row r="9949" s="23" customFormat="1" ht="12.75"/>
    <row r="9950" s="23" customFormat="1" ht="12.75"/>
    <row r="9951" s="23" customFormat="1" ht="12.75"/>
    <row r="9952" s="23" customFormat="1" ht="12.75"/>
    <row r="9953" s="23" customFormat="1" ht="12.75"/>
    <row r="9954" s="23" customFormat="1" ht="12.75"/>
    <row r="9955" s="23" customFormat="1" ht="12.75"/>
    <row r="9956" s="23" customFormat="1" ht="12.75"/>
    <row r="9957" s="23" customFormat="1" ht="12.75"/>
    <row r="9958" s="23" customFormat="1" ht="12.75"/>
    <row r="9959" s="23" customFormat="1" ht="12.75"/>
    <row r="9960" s="23" customFormat="1" ht="12.75"/>
    <row r="9961" s="23" customFormat="1" ht="12.75"/>
    <row r="9962" s="23" customFormat="1" ht="12.75"/>
    <row r="9963" s="23" customFormat="1" ht="12.75"/>
    <row r="9964" s="23" customFormat="1" ht="12.75"/>
    <row r="9965" s="23" customFormat="1" ht="12.75"/>
    <row r="9966" s="23" customFormat="1" ht="12.75"/>
    <row r="9967" s="23" customFormat="1" ht="12.75"/>
    <row r="9968" s="23" customFormat="1" ht="12.75"/>
    <row r="9969" s="23" customFormat="1" ht="12.75"/>
    <row r="9970" s="23" customFormat="1" ht="12.75"/>
    <row r="9971" s="23" customFormat="1" ht="12.75"/>
    <row r="9972" s="23" customFormat="1" ht="12.75"/>
    <row r="9973" s="23" customFormat="1" ht="12.75"/>
    <row r="9974" s="23" customFormat="1" ht="12.75"/>
    <row r="9975" s="23" customFormat="1" ht="12.75"/>
    <row r="9976" s="23" customFormat="1" ht="12.75"/>
    <row r="9977" s="23" customFormat="1" ht="12.75"/>
    <row r="9978" s="23" customFormat="1" ht="12.75"/>
    <row r="9979" s="23" customFormat="1" ht="12.75"/>
    <row r="9980" s="23" customFormat="1" ht="12.75"/>
    <row r="9981" s="23" customFormat="1" ht="12.75"/>
    <row r="9982" s="23" customFormat="1" ht="12.75"/>
    <row r="9983" s="23" customFormat="1" ht="12.75"/>
    <row r="9984" s="23" customFormat="1" ht="12.75"/>
    <row r="9985" s="23" customFormat="1" ht="12.75"/>
    <row r="9986" s="23" customFormat="1" ht="12.75"/>
    <row r="9987" s="23" customFormat="1" ht="12.75"/>
    <row r="9988" s="23" customFormat="1" ht="12.75"/>
    <row r="9989" s="23" customFormat="1" ht="12.75"/>
    <row r="9990" s="23" customFormat="1" ht="12.75"/>
    <row r="9991" s="23" customFormat="1" ht="12.75"/>
    <row r="9992" s="23" customFormat="1" ht="12.75"/>
    <row r="9993" s="23" customFormat="1" ht="12.75"/>
    <row r="9994" s="23" customFormat="1" ht="12.75"/>
    <row r="9995" s="23" customFormat="1" ht="12.75"/>
    <row r="9996" s="23" customFormat="1" ht="12.75"/>
    <row r="9997" s="23" customFormat="1" ht="12.75"/>
    <row r="9998" s="23" customFormat="1" ht="12.75"/>
    <row r="9999" s="23" customFormat="1" ht="12.75"/>
    <row r="10000" s="23" customFormat="1" ht="12.75"/>
    <row r="10001" s="23" customFormat="1" ht="12.75"/>
    <row r="10002" s="23" customFormat="1" ht="12.75"/>
    <row r="10003" s="23" customFormat="1" ht="12.75"/>
    <row r="10004" s="23" customFormat="1" ht="12.75"/>
    <row r="10005" s="23" customFormat="1" ht="12.75"/>
    <row r="10006" s="23" customFormat="1" ht="12.75"/>
    <row r="10007" s="23" customFormat="1" ht="12.75"/>
    <row r="10008" s="23" customFormat="1" ht="12.75"/>
    <row r="10009" s="23" customFormat="1" ht="12.75"/>
    <row r="10010" s="23" customFormat="1" ht="12.75"/>
    <row r="10011" s="23" customFormat="1" ht="12.75"/>
    <row r="10012" s="23" customFormat="1" ht="12.75"/>
    <row r="10013" s="23" customFormat="1" ht="12.75"/>
    <row r="10014" s="23" customFormat="1" ht="12.75"/>
    <row r="10015" s="23" customFormat="1" ht="12.75"/>
    <row r="10016" s="23" customFormat="1" ht="12.75"/>
    <row r="10017" s="23" customFormat="1" ht="12.75"/>
    <row r="10018" s="23" customFormat="1" ht="12.75"/>
    <row r="10019" s="23" customFormat="1" ht="12.75"/>
    <row r="10020" s="23" customFormat="1" ht="12.75"/>
    <row r="10021" s="23" customFormat="1" ht="12.75"/>
    <row r="10022" s="23" customFormat="1" ht="12.75"/>
    <row r="10023" s="23" customFormat="1" ht="12.75"/>
    <row r="10024" s="23" customFormat="1" ht="12.75"/>
    <row r="10025" s="23" customFormat="1" ht="12.75"/>
    <row r="10026" s="23" customFormat="1" ht="12.75"/>
    <row r="10027" s="23" customFormat="1" ht="12.75"/>
    <row r="10028" s="23" customFormat="1" ht="12.75"/>
    <row r="10029" s="23" customFormat="1" ht="12.75"/>
    <row r="10030" s="23" customFormat="1" ht="12.75"/>
    <row r="10031" s="23" customFormat="1" ht="12.75"/>
    <row r="10032" s="23" customFormat="1" ht="12.75"/>
    <row r="10033" s="23" customFormat="1" ht="12.75"/>
    <row r="10034" s="23" customFormat="1" ht="12.75"/>
    <row r="10035" s="23" customFormat="1" ht="12.75"/>
    <row r="10036" s="23" customFormat="1" ht="12.75"/>
    <row r="10037" s="23" customFormat="1" ht="12.75"/>
    <row r="10038" s="23" customFormat="1" ht="12.75"/>
    <row r="10039" s="23" customFormat="1" ht="12.75"/>
    <row r="10040" s="23" customFormat="1" ht="12.75"/>
    <row r="10041" s="23" customFormat="1" ht="12.75"/>
    <row r="10042" s="23" customFormat="1" ht="12.75"/>
    <row r="10043" s="23" customFormat="1" ht="12.75"/>
    <row r="10044" s="23" customFormat="1" ht="12.75"/>
    <row r="10045" s="23" customFormat="1" ht="12.75"/>
    <row r="10046" s="23" customFormat="1" ht="12.75"/>
    <row r="10047" s="23" customFormat="1" ht="12.75"/>
    <row r="10048" s="23" customFormat="1" ht="12.75"/>
    <row r="10049" s="23" customFormat="1" ht="12.75"/>
    <row r="10050" s="23" customFormat="1" ht="12.75"/>
    <row r="10051" s="23" customFormat="1" ht="12.75"/>
    <row r="10052" s="23" customFormat="1" ht="12.75"/>
    <row r="10053" s="23" customFormat="1" ht="12.75"/>
    <row r="10054" s="23" customFormat="1" ht="12.75"/>
    <row r="10055" s="23" customFormat="1" ht="12.75"/>
    <row r="10056" s="23" customFormat="1" ht="12.75"/>
    <row r="10057" s="23" customFormat="1" ht="12.75"/>
    <row r="10058" s="23" customFormat="1" ht="12.75"/>
    <row r="10059" s="23" customFormat="1" ht="12.75"/>
    <row r="10060" s="23" customFormat="1" ht="12.75"/>
    <row r="10061" s="23" customFormat="1" ht="12.75"/>
    <row r="10062" s="23" customFormat="1" ht="12.75"/>
    <row r="10063" s="23" customFormat="1" ht="12.75"/>
    <row r="10064" s="23" customFormat="1" ht="12.75"/>
    <row r="10065" s="23" customFormat="1" ht="12.75"/>
    <row r="10066" s="23" customFormat="1" ht="12.75"/>
    <row r="10067" s="23" customFormat="1" ht="12.75"/>
    <row r="10068" s="23" customFormat="1" ht="12.75"/>
    <row r="10069" s="23" customFormat="1" ht="12.75"/>
    <row r="10070" s="23" customFormat="1" ht="12.75"/>
    <row r="10071" s="23" customFormat="1" ht="12.75"/>
    <row r="10072" s="23" customFormat="1" ht="12.75"/>
    <row r="10073" s="23" customFormat="1" ht="12.75"/>
    <row r="10074" s="23" customFormat="1" ht="12.75"/>
    <row r="10075" s="23" customFormat="1" ht="12.75"/>
    <row r="10076" s="23" customFormat="1" ht="12.75"/>
    <row r="10077" s="23" customFormat="1" ht="12.75"/>
    <row r="10078" s="23" customFormat="1" ht="12.75"/>
    <row r="10079" s="23" customFormat="1" ht="12.75"/>
    <row r="10080" s="23" customFormat="1" ht="12.75"/>
    <row r="10081" s="23" customFormat="1" ht="12.75"/>
    <row r="10082" s="23" customFormat="1" ht="12.75"/>
    <row r="10083" s="23" customFormat="1" ht="12.75"/>
    <row r="10084" s="23" customFormat="1" ht="12.75"/>
    <row r="10085" s="23" customFormat="1" ht="12.75"/>
    <row r="10086" s="23" customFormat="1" ht="12.75"/>
    <row r="10087" s="23" customFormat="1" ht="12.75"/>
    <row r="10088" s="23" customFormat="1" ht="12.75"/>
    <row r="10089" s="23" customFormat="1" ht="12.75"/>
    <row r="10090" s="23" customFormat="1" ht="12.75"/>
    <row r="10091" s="23" customFormat="1" ht="12.75"/>
    <row r="10092" s="23" customFormat="1" ht="12.75"/>
    <row r="10093" s="23" customFormat="1" ht="12.75"/>
    <row r="10094" s="23" customFormat="1" ht="12.75"/>
    <row r="10095" s="23" customFormat="1" ht="12.75"/>
    <row r="10096" s="23" customFormat="1" ht="12.75"/>
    <row r="10097" s="23" customFormat="1" ht="12.75"/>
    <row r="10098" s="23" customFormat="1" ht="12.75"/>
    <row r="10099" s="23" customFormat="1" ht="12.75"/>
    <row r="10100" s="23" customFormat="1" ht="12.75"/>
    <row r="10101" s="23" customFormat="1" ht="12.75"/>
    <row r="10102" s="23" customFormat="1" ht="12.75"/>
    <row r="10103" s="23" customFormat="1" ht="12.75"/>
    <row r="10104" s="23" customFormat="1" ht="12.75"/>
    <row r="10105" s="23" customFormat="1" ht="12.75"/>
    <row r="10106" s="23" customFormat="1" ht="12.75"/>
    <row r="10107" s="23" customFormat="1" ht="12.75"/>
    <row r="10108" s="23" customFormat="1" ht="12.75"/>
    <row r="10109" s="23" customFormat="1" ht="12.75"/>
    <row r="10110" s="23" customFormat="1" ht="12.75"/>
    <row r="10111" s="23" customFormat="1" ht="12.75"/>
    <row r="10112" s="23" customFormat="1" ht="12.75"/>
    <row r="10113" s="23" customFormat="1" ht="12.75"/>
    <row r="10114" s="23" customFormat="1" ht="12.75"/>
    <row r="10115" s="23" customFormat="1" ht="12.75"/>
    <row r="10116" s="23" customFormat="1" ht="12.75"/>
    <row r="10117" s="23" customFormat="1" ht="12.75"/>
    <row r="10118" s="23" customFormat="1" ht="12.75"/>
    <row r="10119" s="23" customFormat="1" ht="12.75"/>
    <row r="10120" s="23" customFormat="1" ht="12.75"/>
    <row r="10121" s="23" customFormat="1" ht="12.75"/>
    <row r="10122" s="23" customFormat="1" ht="12.75"/>
    <row r="10123" s="23" customFormat="1" ht="12.75"/>
    <row r="10124" s="23" customFormat="1" ht="12.75"/>
    <row r="10125" s="23" customFormat="1" ht="12.75"/>
    <row r="10126" s="23" customFormat="1" ht="12.75"/>
    <row r="10127" s="23" customFormat="1" ht="12.75"/>
    <row r="10128" s="23" customFormat="1" ht="12.75"/>
    <row r="10129" s="23" customFormat="1" ht="12.75"/>
    <row r="10130" s="23" customFormat="1" ht="12.75"/>
    <row r="10131" s="23" customFormat="1" ht="12.75"/>
    <row r="10132" s="23" customFormat="1" ht="12.75"/>
    <row r="10133" s="23" customFormat="1" ht="12.75"/>
    <row r="10134" s="23" customFormat="1" ht="12.75"/>
    <row r="10135" s="23" customFormat="1" ht="12.75"/>
    <row r="10136" s="23" customFormat="1" ht="12.75"/>
    <row r="10137" s="23" customFormat="1" ht="12.75"/>
    <row r="10138" s="23" customFormat="1" ht="12.75"/>
    <row r="10139" s="23" customFormat="1" ht="12.75"/>
    <row r="10140" s="23" customFormat="1" ht="12.75"/>
    <row r="10141" s="23" customFormat="1" ht="12.75"/>
    <row r="10142" s="23" customFormat="1" ht="12.75"/>
    <row r="10143" s="23" customFormat="1" ht="12.75"/>
    <row r="10144" s="23" customFormat="1" ht="12.75"/>
    <row r="10145" s="23" customFormat="1" ht="12.75"/>
    <row r="10146" s="23" customFormat="1" ht="12.75"/>
    <row r="10147" s="23" customFormat="1" ht="12.75"/>
    <row r="10148" s="23" customFormat="1" ht="12.75"/>
    <row r="10149" s="23" customFormat="1" ht="12.75"/>
    <row r="10150" s="23" customFormat="1" ht="12.75"/>
    <row r="10151" s="23" customFormat="1" ht="12.75"/>
    <row r="10152" s="23" customFormat="1" ht="12.75"/>
    <row r="10153" s="23" customFormat="1" ht="12.75"/>
    <row r="10154" s="23" customFormat="1" ht="12.75"/>
    <row r="10155" s="23" customFormat="1" ht="12.75"/>
    <row r="10156" s="23" customFormat="1" ht="12.75"/>
    <row r="10157" s="23" customFormat="1" ht="12.75"/>
    <row r="10158" s="23" customFormat="1" ht="12.75"/>
    <row r="10159" s="23" customFormat="1" ht="12.75"/>
    <row r="10160" s="23" customFormat="1" ht="12.75"/>
    <row r="10161" s="23" customFormat="1" ht="12.75"/>
    <row r="10162" s="23" customFormat="1" ht="12.75"/>
    <row r="10163" s="23" customFormat="1" ht="12.75"/>
    <row r="10164" s="23" customFormat="1" ht="12.75"/>
    <row r="10165" s="23" customFormat="1" ht="12.75"/>
    <row r="10166" s="23" customFormat="1" ht="12.75"/>
    <row r="10167" s="23" customFormat="1" ht="12.75"/>
    <row r="10168" s="23" customFormat="1" ht="12.75"/>
    <row r="10169" s="23" customFormat="1" ht="12.75"/>
    <row r="10170" s="23" customFormat="1" ht="12.75"/>
    <row r="10171" s="23" customFormat="1" ht="12.75"/>
    <row r="10172" s="23" customFormat="1" ht="12.75"/>
    <row r="10173" s="23" customFormat="1" ht="12.75"/>
    <row r="10174" s="23" customFormat="1" ht="12.75"/>
    <row r="10175" s="23" customFormat="1" ht="12.75"/>
    <row r="10176" s="23" customFormat="1" ht="12.75"/>
    <row r="10177" s="23" customFormat="1" ht="12.75"/>
    <row r="10178" s="23" customFormat="1" ht="12.75"/>
    <row r="10179" s="23" customFormat="1" ht="12.75"/>
    <row r="10180" s="23" customFormat="1" ht="12.75"/>
    <row r="10181" s="23" customFormat="1" ht="12.75"/>
    <row r="10182" s="23" customFormat="1" ht="12.75"/>
    <row r="10183" s="23" customFormat="1" ht="12.75"/>
    <row r="10184" s="23" customFormat="1" ht="12.75"/>
    <row r="10185" s="23" customFormat="1" ht="12.75"/>
    <row r="10186" s="23" customFormat="1" ht="12.75"/>
    <row r="10187" s="23" customFormat="1" ht="12.75"/>
    <row r="10188" s="23" customFormat="1" ht="12.75"/>
    <row r="10189" s="23" customFormat="1" ht="12.75"/>
    <row r="10190" s="23" customFormat="1" ht="12.75"/>
    <row r="10191" s="23" customFormat="1" ht="12.75"/>
    <row r="10192" s="23" customFormat="1" ht="12.75"/>
    <row r="10193" s="23" customFormat="1" ht="12.75"/>
    <row r="10194" s="23" customFormat="1" ht="12.75"/>
    <row r="10195" s="23" customFormat="1" ht="12.75"/>
    <row r="10196" s="23" customFormat="1" ht="12.75"/>
    <row r="10197" s="23" customFormat="1" ht="12.75"/>
    <row r="10198" s="23" customFormat="1" ht="12.75"/>
    <row r="10199" s="23" customFormat="1" ht="12.75"/>
    <row r="10200" s="23" customFormat="1" ht="12.75"/>
    <row r="10201" s="23" customFormat="1" ht="12.75"/>
    <row r="10202" s="23" customFormat="1" ht="12.75"/>
    <row r="10203" s="23" customFormat="1" ht="12.75"/>
    <row r="10204" s="23" customFormat="1" ht="12.75"/>
    <row r="10205" s="23" customFormat="1" ht="12.75"/>
    <row r="10206" s="23" customFormat="1" ht="12.75"/>
    <row r="10207" s="23" customFormat="1" ht="12.75"/>
    <row r="10208" s="23" customFormat="1" ht="12.75"/>
    <row r="10209" s="23" customFormat="1" ht="12.75"/>
    <row r="10210" s="23" customFormat="1" ht="12.75"/>
    <row r="10211" s="23" customFormat="1" ht="12.75"/>
    <row r="10212" s="23" customFormat="1" ht="12.75"/>
    <row r="10213" s="23" customFormat="1" ht="12.75"/>
    <row r="10214" s="23" customFormat="1" ht="12.75"/>
    <row r="10215" s="23" customFormat="1" ht="12.75"/>
    <row r="10216" s="23" customFormat="1" ht="12.75"/>
    <row r="10217" s="23" customFormat="1" ht="12.75"/>
    <row r="10218" s="23" customFormat="1" ht="12.75"/>
    <row r="10219" s="23" customFormat="1" ht="12.75"/>
    <row r="10220" s="23" customFormat="1" ht="12.75"/>
    <row r="10221" s="23" customFormat="1" ht="12.75"/>
    <row r="10222" s="23" customFormat="1" ht="12.75"/>
    <row r="10223" s="23" customFormat="1" ht="12.75"/>
    <row r="10224" s="23" customFormat="1" ht="12.75"/>
    <row r="10225" s="23" customFormat="1" ht="12.75"/>
    <row r="10226" s="23" customFormat="1" ht="12.75"/>
    <row r="10227" s="23" customFormat="1" ht="12.75"/>
    <row r="10228" s="23" customFormat="1" ht="12.75"/>
    <row r="10229" s="23" customFormat="1" ht="12.75"/>
    <row r="10230" s="23" customFormat="1" ht="12.75"/>
    <row r="10231" s="23" customFormat="1" ht="12.75"/>
    <row r="10232" s="23" customFormat="1" ht="12.75"/>
    <row r="10233" s="23" customFormat="1" ht="12.75"/>
    <row r="10234" s="23" customFormat="1" ht="12.75"/>
    <row r="10235" s="23" customFormat="1" ht="12.75"/>
    <row r="10236" s="23" customFormat="1" ht="12.75"/>
    <row r="10237" s="23" customFormat="1" ht="12.75"/>
    <row r="10238" s="23" customFormat="1" ht="12.75"/>
    <row r="10239" s="23" customFormat="1" ht="12.75"/>
    <row r="10240" s="23" customFormat="1" ht="12.75"/>
    <row r="10241" s="23" customFormat="1" ht="12.75"/>
    <row r="10242" s="23" customFormat="1" ht="12.75"/>
    <row r="10243" s="23" customFormat="1" ht="12.75"/>
    <row r="10244" s="23" customFormat="1" ht="12.75"/>
    <row r="10245" s="23" customFormat="1" ht="12.75"/>
    <row r="10246" s="23" customFormat="1" ht="12.75"/>
    <row r="10247" s="23" customFormat="1" ht="12.75"/>
    <row r="10248" s="23" customFormat="1" ht="12.75"/>
    <row r="10249" s="23" customFormat="1" ht="12.75"/>
    <row r="10250" s="23" customFormat="1" ht="12.75"/>
    <row r="10251" s="23" customFormat="1" ht="12.75"/>
    <row r="10252" s="23" customFormat="1" ht="12.75"/>
    <row r="10253" s="23" customFormat="1" ht="12.75"/>
    <row r="10254" s="23" customFormat="1" ht="12.75"/>
    <row r="10255" s="23" customFormat="1" ht="12.75"/>
    <row r="10256" s="23" customFormat="1" ht="12.75"/>
    <row r="10257" s="23" customFormat="1" ht="12.75"/>
    <row r="10258" s="23" customFormat="1" ht="12.75"/>
    <row r="10259" s="23" customFormat="1" ht="12.75"/>
    <row r="10260" s="23" customFormat="1" ht="12.75"/>
    <row r="10261" s="23" customFormat="1" ht="12.75"/>
    <row r="10262" s="23" customFormat="1" ht="12.75"/>
    <row r="10263" s="23" customFormat="1" ht="12.75"/>
    <row r="10264" s="23" customFormat="1" ht="12.75"/>
    <row r="10265" s="23" customFormat="1" ht="12.75"/>
    <row r="10266" s="23" customFormat="1" ht="12.75"/>
    <row r="10267" s="23" customFormat="1" ht="12.75"/>
    <row r="10268" s="23" customFormat="1" ht="12.75"/>
    <row r="10269" s="23" customFormat="1" ht="12.75"/>
    <row r="10270" s="23" customFormat="1" ht="12.75"/>
    <row r="10271" s="23" customFormat="1" ht="12.75"/>
    <row r="10272" s="23" customFormat="1" ht="12.75"/>
    <row r="10273" s="23" customFormat="1" ht="12.75"/>
    <row r="10274" s="23" customFormat="1" ht="12.75"/>
    <row r="10275" s="23" customFormat="1" ht="12.75"/>
    <row r="10276" s="23" customFormat="1" ht="12.75"/>
    <row r="10277" s="23" customFormat="1" ht="12.75"/>
    <row r="10278" s="23" customFormat="1" ht="12.75"/>
    <row r="10279" s="23" customFormat="1" ht="12.75"/>
    <row r="10280" s="23" customFormat="1" ht="12.75"/>
    <row r="10281" s="23" customFormat="1" ht="12.75"/>
    <row r="10282" s="23" customFormat="1" ht="12.75"/>
    <row r="10283" s="23" customFormat="1" ht="12.75"/>
    <row r="10284" s="23" customFormat="1" ht="12.75"/>
    <row r="10285" s="23" customFormat="1" ht="12.75"/>
    <row r="10286" s="23" customFormat="1" ht="12.75"/>
    <row r="10287" s="23" customFormat="1" ht="12.75"/>
    <row r="10288" s="23" customFormat="1" ht="12.75"/>
    <row r="10289" s="23" customFormat="1" ht="12.75"/>
    <row r="10290" s="23" customFormat="1" ht="12.75"/>
    <row r="10291" s="23" customFormat="1" ht="12.75"/>
    <row r="10292" s="23" customFormat="1" ht="12.75"/>
    <row r="10293" s="23" customFormat="1" ht="12.75"/>
    <row r="10294" s="23" customFormat="1" ht="12.75"/>
    <row r="10295" s="23" customFormat="1" ht="12.75"/>
    <row r="10296" s="23" customFormat="1" ht="12.75"/>
    <row r="10297" s="23" customFormat="1" ht="12.75"/>
    <row r="10298" s="23" customFormat="1" ht="12.75"/>
    <row r="10299" s="23" customFormat="1" ht="12.75"/>
    <row r="10300" s="23" customFormat="1" ht="12.75"/>
    <row r="10301" s="23" customFormat="1" ht="12.75"/>
    <row r="10302" s="23" customFormat="1" ht="12.75"/>
    <row r="10303" s="23" customFormat="1" ht="12.75"/>
    <row r="10304" s="23" customFormat="1" ht="12.75"/>
    <row r="10305" s="23" customFormat="1" ht="12.75"/>
    <row r="10306" s="23" customFormat="1" ht="12.75"/>
    <row r="10307" s="23" customFormat="1" ht="12.75"/>
    <row r="10308" s="23" customFormat="1" ht="12.75"/>
    <row r="10309" s="23" customFormat="1" ht="12.75"/>
    <row r="10310" s="23" customFormat="1" ht="12.75"/>
    <row r="10311" s="23" customFormat="1" ht="12.75"/>
    <row r="10312" s="23" customFormat="1" ht="12.75"/>
    <row r="10313" s="23" customFormat="1" ht="12.75"/>
    <row r="10314" s="23" customFormat="1" ht="12.75"/>
    <row r="10315" s="23" customFormat="1" ht="12.75"/>
    <row r="10316" s="23" customFormat="1" ht="12.75"/>
    <row r="10317" s="23" customFormat="1" ht="12.75"/>
    <row r="10318" s="23" customFormat="1" ht="12.75"/>
    <row r="10319" s="23" customFormat="1" ht="12.75"/>
    <row r="10320" s="23" customFormat="1" ht="12.75"/>
    <row r="10321" s="23" customFormat="1" ht="12.75"/>
    <row r="10322" s="23" customFormat="1" ht="12.75"/>
    <row r="10323" s="23" customFormat="1" ht="12.75"/>
    <row r="10324" s="23" customFormat="1" ht="12.75"/>
    <row r="10325" s="23" customFormat="1" ht="12.75"/>
    <row r="10326" s="23" customFormat="1" ht="12.75"/>
    <row r="10327" s="23" customFormat="1" ht="12.75"/>
    <row r="10328" s="23" customFormat="1" ht="12.75"/>
    <row r="10329" s="23" customFormat="1" ht="12.75"/>
    <row r="10330" s="23" customFormat="1" ht="12.75"/>
    <row r="10331" s="23" customFormat="1" ht="12.75"/>
    <row r="10332" s="23" customFormat="1" ht="12.75"/>
    <row r="10333" s="23" customFormat="1" ht="12.75"/>
    <row r="10334" s="23" customFormat="1" ht="12.75"/>
    <row r="10335" s="23" customFormat="1" ht="12.75"/>
    <row r="10336" s="23" customFormat="1" ht="12.75"/>
    <row r="10337" s="23" customFormat="1" ht="12.75"/>
    <row r="10338" s="23" customFormat="1" ht="12.75"/>
    <row r="10339" s="23" customFormat="1" ht="12.75"/>
    <row r="10340" s="23" customFormat="1" ht="12.75"/>
    <row r="10341" s="23" customFormat="1" ht="12.75"/>
    <row r="10342" s="23" customFormat="1" ht="12.75"/>
    <row r="10343" s="23" customFormat="1" ht="12.75"/>
    <row r="10344" s="23" customFormat="1" ht="12.75"/>
    <row r="10345" s="23" customFormat="1" ht="12.75"/>
    <row r="10346" s="23" customFormat="1" ht="12.75"/>
    <row r="10347" s="23" customFormat="1" ht="12.75"/>
    <row r="10348" s="23" customFormat="1" ht="12.75"/>
    <row r="10349" s="23" customFormat="1" ht="12.75"/>
    <row r="10350" s="23" customFormat="1" ht="12.75"/>
    <row r="10351" s="23" customFormat="1" ht="12.75"/>
    <row r="10352" s="23" customFormat="1" ht="12.75"/>
    <row r="10353" s="23" customFormat="1" ht="12.75"/>
    <row r="10354" s="23" customFormat="1" ht="12.75"/>
    <row r="10355" s="23" customFormat="1" ht="12.75"/>
    <row r="10356" s="23" customFormat="1" ht="12.75"/>
    <row r="10357" s="23" customFormat="1" ht="12.75"/>
    <row r="10358" s="23" customFormat="1" ht="12.75"/>
    <row r="10359" s="23" customFormat="1" ht="12.75"/>
    <row r="10360" s="23" customFormat="1" ht="12.75"/>
    <row r="10361" s="23" customFormat="1" ht="12.75"/>
    <row r="10362" s="23" customFormat="1" ht="12.75"/>
    <row r="10363" s="23" customFormat="1" ht="12.75"/>
    <row r="10364" s="23" customFormat="1" ht="12.75"/>
    <row r="10365" s="23" customFormat="1" ht="12.75"/>
    <row r="10366" s="23" customFormat="1" ht="12.75"/>
    <row r="10367" s="23" customFormat="1" ht="12.75"/>
    <row r="10368" s="23" customFormat="1" ht="12.75"/>
    <row r="10369" s="23" customFormat="1" ht="12.75"/>
    <row r="10370" s="23" customFormat="1" ht="12.75"/>
    <row r="10371" s="23" customFormat="1" ht="12.75"/>
    <row r="10372" s="23" customFormat="1" ht="12.75"/>
    <row r="10373" s="23" customFormat="1" ht="12.75"/>
    <row r="10374" s="23" customFormat="1" ht="12.75"/>
    <row r="10375" s="23" customFormat="1" ht="12.75"/>
    <row r="10376" s="23" customFormat="1" ht="12.75"/>
    <row r="10377" s="23" customFormat="1" ht="12.75"/>
    <row r="10378" s="23" customFormat="1" ht="12.75"/>
    <row r="10379" s="23" customFormat="1" ht="12.75"/>
    <row r="10380" s="23" customFormat="1" ht="12.75"/>
    <row r="10381" s="23" customFormat="1" ht="12.75"/>
    <row r="10382" s="23" customFormat="1" ht="12.75"/>
    <row r="10383" s="23" customFormat="1" ht="12.75"/>
    <row r="10384" s="23" customFormat="1" ht="12.75"/>
    <row r="10385" s="23" customFormat="1" ht="12.75"/>
    <row r="10386" s="23" customFormat="1" ht="12.75"/>
    <row r="10387" s="23" customFormat="1" ht="12.75"/>
    <row r="10388" s="23" customFormat="1" ht="12.75"/>
    <row r="10389" s="23" customFormat="1" ht="12.75"/>
    <row r="10390" s="23" customFormat="1" ht="12.75"/>
    <row r="10391" s="23" customFormat="1" ht="12.75"/>
    <row r="10392" s="23" customFormat="1" ht="12.75"/>
    <row r="10393" s="23" customFormat="1" ht="12.75"/>
    <row r="10394" s="23" customFormat="1" ht="12.75"/>
    <row r="10395" s="23" customFormat="1" ht="12.75"/>
    <row r="10396" s="23" customFormat="1" ht="12.75"/>
    <row r="10397" s="23" customFormat="1" ht="12.75"/>
    <row r="10398" s="23" customFormat="1" ht="12.75"/>
    <row r="10399" s="23" customFormat="1" ht="12.75"/>
    <row r="10400" s="23" customFormat="1" ht="12.75"/>
    <row r="10401" s="23" customFormat="1" ht="12.75"/>
    <row r="10402" s="23" customFormat="1" ht="12.75"/>
    <row r="10403" s="23" customFormat="1" ht="12.75"/>
    <row r="10404" s="23" customFormat="1" ht="12.75"/>
    <row r="10405" s="23" customFormat="1" ht="12.75"/>
    <row r="10406" s="23" customFormat="1" ht="12.75"/>
    <row r="10407" s="23" customFormat="1" ht="12.75"/>
    <row r="10408" s="23" customFormat="1" ht="12.75"/>
    <row r="10409" s="23" customFormat="1" ht="12.75"/>
    <row r="10410" s="23" customFormat="1" ht="12.75"/>
    <row r="10411" s="23" customFormat="1" ht="12.75"/>
    <row r="10412" s="23" customFormat="1" ht="12.75"/>
    <row r="10413" s="23" customFormat="1" ht="12.75"/>
    <row r="10414" s="23" customFormat="1" ht="12.75"/>
    <row r="10415" s="23" customFormat="1" ht="12.75"/>
    <row r="10416" s="23" customFormat="1" ht="12.75"/>
    <row r="10417" s="23" customFormat="1" ht="12.75"/>
    <row r="10418" s="23" customFormat="1" ht="12.75"/>
    <row r="10419" s="23" customFormat="1" ht="12.75"/>
    <row r="10420" s="23" customFormat="1" ht="12.75"/>
    <row r="10421" s="23" customFormat="1" ht="12.75"/>
    <row r="10422" s="23" customFormat="1" ht="12.75"/>
    <row r="10423" s="23" customFormat="1" ht="12.75"/>
    <row r="10424" s="23" customFormat="1" ht="12.75"/>
    <row r="10425" s="23" customFormat="1" ht="12.75"/>
    <row r="10426" s="23" customFormat="1" ht="12.75"/>
    <row r="10427" s="23" customFormat="1" ht="12.75"/>
    <row r="10428" s="23" customFormat="1" ht="12.75"/>
    <row r="10429" s="23" customFormat="1" ht="12.75"/>
    <row r="10430" s="23" customFormat="1" ht="12.75"/>
    <row r="10431" s="23" customFormat="1" ht="12.75"/>
    <row r="10432" s="23" customFormat="1" ht="12.75"/>
    <row r="10433" s="23" customFormat="1" ht="12.75"/>
    <row r="10434" s="23" customFormat="1" ht="12.75"/>
    <row r="10435" s="23" customFormat="1" ht="12.75"/>
    <row r="10436" s="23" customFormat="1" ht="12.75"/>
    <row r="10437" s="23" customFormat="1" ht="12.75"/>
    <row r="10438" s="23" customFormat="1" ht="12.75"/>
    <row r="10439" s="23" customFormat="1" ht="12.75"/>
    <row r="10440" s="23" customFormat="1" ht="12.75"/>
    <row r="10441" s="23" customFormat="1" ht="12.75"/>
    <row r="10442" s="23" customFormat="1" ht="12.75"/>
    <row r="10443" s="23" customFormat="1" ht="12.75"/>
    <row r="10444" s="23" customFormat="1" ht="12.75"/>
    <row r="10445" s="23" customFormat="1" ht="12.75"/>
    <row r="10446" s="23" customFormat="1" ht="12.75"/>
    <row r="10447" s="23" customFormat="1" ht="12.75"/>
    <row r="10448" s="23" customFormat="1" ht="12.75"/>
    <row r="10449" s="23" customFormat="1" ht="12.75"/>
    <row r="10450" s="23" customFormat="1" ht="12.75"/>
    <row r="10451" s="23" customFormat="1" ht="12.75"/>
    <row r="10452" s="23" customFormat="1" ht="12.75"/>
    <row r="10453" s="23" customFormat="1" ht="12.75"/>
    <row r="10454" s="23" customFormat="1" ht="12.75"/>
    <row r="10455" s="23" customFormat="1" ht="12.75"/>
    <row r="10456" s="23" customFormat="1" ht="12.75"/>
    <row r="10457" s="23" customFormat="1" ht="12.75"/>
    <row r="10458" s="23" customFormat="1" ht="12.75"/>
    <row r="10459" s="23" customFormat="1" ht="12.75"/>
    <row r="10460" s="23" customFormat="1" ht="12.75"/>
    <row r="10461" s="23" customFormat="1" ht="12.75"/>
    <row r="10462" s="23" customFormat="1" ht="12.75"/>
    <row r="10463" s="23" customFormat="1" ht="12.75"/>
    <row r="10464" s="23" customFormat="1" ht="12.75"/>
    <row r="10465" s="23" customFormat="1" ht="12.75"/>
    <row r="10466" s="23" customFormat="1" ht="12.75"/>
    <row r="10467" s="23" customFormat="1" ht="12.75"/>
    <row r="10468" s="23" customFormat="1" ht="12.75"/>
    <row r="10469" s="23" customFormat="1" ht="12.75"/>
    <row r="10470" s="23" customFormat="1" ht="12.75"/>
    <row r="10471" s="23" customFormat="1" ht="12.75"/>
    <row r="10472" s="23" customFormat="1" ht="12.75"/>
    <row r="10473" s="23" customFormat="1" ht="12.75"/>
    <row r="10474" s="23" customFormat="1" ht="12.75"/>
    <row r="10475" s="23" customFormat="1" ht="12.75"/>
    <row r="10476" s="23" customFormat="1" ht="12.75"/>
    <row r="10477" s="23" customFormat="1" ht="12.75"/>
    <row r="10478" s="23" customFormat="1" ht="12.75"/>
    <row r="10479" s="23" customFormat="1" ht="12.75"/>
    <row r="10480" s="23" customFormat="1" ht="12.75"/>
    <row r="10481" s="23" customFormat="1" ht="12.75"/>
    <row r="10482" s="23" customFormat="1" ht="12.75"/>
    <row r="10483" s="23" customFormat="1" ht="12.75"/>
    <row r="10484" s="23" customFormat="1" ht="12.75"/>
    <row r="10485" s="23" customFormat="1" ht="12.75"/>
    <row r="10486" s="23" customFormat="1" ht="12.75"/>
    <row r="10487" s="23" customFormat="1" ht="12.75"/>
    <row r="10488" s="23" customFormat="1" ht="12.75"/>
    <row r="10489" s="23" customFormat="1" ht="12.75"/>
    <row r="10490" s="23" customFormat="1" ht="12.75"/>
    <row r="10491" s="23" customFormat="1" ht="12.75"/>
    <row r="10492" s="23" customFormat="1" ht="12.75"/>
    <row r="10493" s="23" customFormat="1" ht="12.75"/>
    <row r="10494" s="23" customFormat="1" ht="12.75"/>
    <row r="10495" s="23" customFormat="1" ht="12.75"/>
    <row r="10496" s="23" customFormat="1" ht="12.75"/>
    <row r="10497" s="23" customFormat="1" ht="12.75"/>
    <row r="10498" s="23" customFormat="1" ht="12.75"/>
    <row r="10499" s="23" customFormat="1" ht="12.75"/>
    <row r="10500" s="23" customFormat="1" ht="12.75"/>
    <row r="10501" s="23" customFormat="1" ht="12.75"/>
    <row r="10502" s="23" customFormat="1" ht="12.75"/>
    <row r="10503" s="23" customFormat="1" ht="12.75"/>
    <row r="10504" s="23" customFormat="1" ht="12.75"/>
    <row r="10505" s="23" customFormat="1" ht="12.75"/>
    <row r="10506" s="23" customFormat="1" ht="12.75"/>
    <row r="10507" s="23" customFormat="1" ht="12.75"/>
    <row r="10508" s="23" customFormat="1" ht="12.75"/>
    <row r="10509" s="23" customFormat="1" ht="12.75"/>
    <row r="10510" s="23" customFormat="1" ht="12.75"/>
    <row r="10511" s="23" customFormat="1" ht="12.75"/>
    <row r="10512" s="23" customFormat="1" ht="12.75"/>
    <row r="10513" s="23" customFormat="1" ht="12.75"/>
    <row r="10514" s="23" customFormat="1" ht="12.75"/>
    <row r="10515" s="23" customFormat="1" ht="12.75"/>
    <row r="10516" s="23" customFormat="1" ht="12.75"/>
    <row r="10517" s="23" customFormat="1" ht="12.75"/>
    <row r="10518" s="23" customFormat="1" ht="12.75"/>
    <row r="10519" s="23" customFormat="1" ht="12.75"/>
    <row r="10520" s="23" customFormat="1" ht="12.75"/>
    <row r="10521" s="23" customFormat="1" ht="12.75"/>
    <row r="10522" s="23" customFormat="1" ht="12.75"/>
    <row r="10523" s="23" customFormat="1" ht="12.75"/>
    <row r="10524" s="23" customFormat="1" ht="12.75"/>
    <row r="10525" s="23" customFormat="1" ht="12.75"/>
    <row r="10526" s="23" customFormat="1" ht="12.75"/>
    <row r="10527" s="23" customFormat="1" ht="12.75"/>
    <row r="10528" s="23" customFormat="1" ht="12.75"/>
    <row r="10529" s="23" customFormat="1" ht="12.75"/>
    <row r="10530" s="23" customFormat="1" ht="12.75"/>
    <row r="10531" s="23" customFormat="1" ht="12.75"/>
    <row r="10532" s="23" customFormat="1" ht="12.75"/>
    <row r="10533" s="23" customFormat="1" ht="12.75"/>
    <row r="10534" s="23" customFormat="1" ht="12.75"/>
    <row r="10535" s="23" customFormat="1" ht="12.75"/>
    <row r="10536" s="23" customFormat="1" ht="12.75"/>
    <row r="10537" s="23" customFormat="1" ht="12.75"/>
    <row r="10538" s="23" customFormat="1" ht="12.75"/>
    <row r="10539" s="23" customFormat="1" ht="12.75"/>
    <row r="10540" s="23" customFormat="1" ht="12.75"/>
    <row r="10541" s="23" customFormat="1" ht="12.75"/>
    <row r="10542" s="23" customFormat="1" ht="12.75"/>
    <row r="10543" s="23" customFormat="1" ht="12.75"/>
    <row r="10544" s="23" customFormat="1" ht="12.75"/>
    <row r="10545" s="23" customFormat="1" ht="12.75"/>
    <row r="10546" s="23" customFormat="1" ht="12.75"/>
    <row r="10547" s="23" customFormat="1" ht="12.75"/>
    <row r="10548" s="23" customFormat="1" ht="12.75"/>
    <row r="10549" s="23" customFormat="1" ht="12.75"/>
    <row r="10550" s="23" customFormat="1" ht="12.75"/>
    <row r="10551" s="23" customFormat="1" ht="12.75"/>
    <row r="10552" s="23" customFormat="1" ht="12.75"/>
    <row r="10553" s="23" customFormat="1" ht="12.75"/>
    <row r="10554" s="23" customFormat="1" ht="12.75"/>
    <row r="10555" s="23" customFormat="1" ht="12.75"/>
    <row r="10556" s="23" customFormat="1" ht="12.75"/>
    <row r="10557" s="23" customFormat="1" ht="12.75"/>
    <row r="10558" s="23" customFormat="1" ht="12.75"/>
    <row r="10559" s="23" customFormat="1" ht="12.75"/>
    <row r="10560" s="23" customFormat="1" ht="12.75"/>
    <row r="10561" s="23" customFormat="1" ht="12.75"/>
    <row r="10562" s="23" customFormat="1" ht="12.75"/>
    <row r="10563" s="23" customFormat="1" ht="12.75"/>
    <row r="10564" s="23" customFormat="1" ht="12.75"/>
    <row r="10565" s="23" customFormat="1" ht="12.75"/>
    <row r="10566" s="23" customFormat="1" ht="12.75"/>
    <row r="10567" s="23" customFormat="1" ht="12.75"/>
    <row r="10568" s="23" customFormat="1" ht="12.75"/>
    <row r="10569" s="23" customFormat="1" ht="12.75"/>
    <row r="10570" s="23" customFormat="1" ht="12.75"/>
    <row r="10571" s="23" customFormat="1" ht="12.75"/>
    <row r="10572" s="23" customFormat="1" ht="12.75"/>
    <row r="10573" s="23" customFormat="1" ht="12.75"/>
    <row r="10574" s="23" customFormat="1" ht="12.75"/>
    <row r="10575" s="23" customFormat="1" ht="12.75"/>
    <row r="10576" s="23" customFormat="1" ht="12.75"/>
    <row r="10577" s="23" customFormat="1" ht="12.75"/>
    <row r="10578" s="23" customFormat="1" ht="12.75"/>
    <row r="10579" s="23" customFormat="1" ht="12.75"/>
    <row r="10580" s="23" customFormat="1" ht="12.75"/>
    <row r="10581" s="23" customFormat="1" ht="12.75"/>
    <row r="10582" s="23" customFormat="1" ht="12.75"/>
    <row r="10583" s="23" customFormat="1" ht="12.75"/>
    <row r="10584" s="23" customFormat="1" ht="12.75"/>
    <row r="10585" s="23" customFormat="1" ht="12.75"/>
    <row r="10586" s="23" customFormat="1" ht="12.75"/>
    <row r="10587" s="23" customFormat="1" ht="12.75"/>
    <row r="10588" s="23" customFormat="1" ht="12.75"/>
    <row r="10589" s="23" customFormat="1" ht="12.75"/>
    <row r="10590" s="23" customFormat="1" ht="12.75"/>
    <row r="10591" s="23" customFormat="1" ht="12.75"/>
    <row r="10592" s="23" customFormat="1" ht="12.75"/>
    <row r="10593" s="23" customFormat="1" ht="12.75"/>
    <row r="10594" s="23" customFormat="1" ht="12.75"/>
    <row r="10595" s="23" customFormat="1" ht="12.75"/>
    <row r="10596" s="23" customFormat="1" ht="12.75"/>
    <row r="10597" s="23" customFormat="1" ht="12.75"/>
    <row r="10598" s="23" customFormat="1" ht="12.75"/>
    <row r="10599" s="23" customFormat="1" ht="12.75"/>
    <row r="10600" s="23" customFormat="1" ht="12.75"/>
    <row r="10601" s="23" customFormat="1" ht="12.75"/>
    <row r="10602" s="23" customFormat="1" ht="12.75"/>
    <row r="10603" s="23" customFormat="1" ht="12.75"/>
    <row r="10604" s="23" customFormat="1" ht="12.75"/>
    <row r="10605" s="23" customFormat="1" ht="12.75"/>
    <row r="10606" s="23" customFormat="1" ht="12.75"/>
    <row r="10607" s="23" customFormat="1" ht="12.75"/>
    <row r="10608" s="23" customFormat="1" ht="12.75"/>
    <row r="10609" s="23" customFormat="1" ht="12.75"/>
    <row r="10610" s="23" customFormat="1" ht="12.75"/>
    <row r="10611" s="23" customFormat="1" ht="12.75"/>
    <row r="10612" s="23" customFormat="1" ht="12.75"/>
    <row r="10613" s="23" customFormat="1" ht="12.75"/>
    <row r="10614" s="23" customFormat="1" ht="12.75"/>
    <row r="10615" s="23" customFormat="1" ht="12.75"/>
    <row r="10616" s="23" customFormat="1" ht="12.75"/>
    <row r="10617" s="23" customFormat="1" ht="12.75"/>
    <row r="10618" s="23" customFormat="1" ht="12.75"/>
    <row r="10619" s="23" customFormat="1" ht="12.75"/>
    <row r="10620" s="23" customFormat="1" ht="12.75"/>
    <row r="10621" s="23" customFormat="1" ht="12.75"/>
    <row r="10622" s="23" customFormat="1" ht="12.75"/>
    <row r="10623" s="23" customFormat="1" ht="12.75"/>
    <row r="10624" s="23" customFormat="1" ht="12.75"/>
    <row r="10625" s="23" customFormat="1" ht="12.75"/>
    <row r="10626" s="23" customFormat="1" ht="12.75"/>
    <row r="10627" s="23" customFormat="1" ht="12.75"/>
    <row r="10628" s="23" customFormat="1" ht="12.75"/>
    <row r="10629" s="23" customFormat="1" ht="12.75"/>
    <row r="10630" s="23" customFormat="1" ht="12.75"/>
    <row r="10631" s="23" customFormat="1" ht="12.75"/>
    <row r="10632" s="23" customFormat="1" ht="12.75"/>
    <row r="10633" s="23" customFormat="1" ht="12.75"/>
    <row r="10634" s="23" customFormat="1" ht="12.75"/>
    <row r="10635" s="23" customFormat="1" ht="12.75"/>
    <row r="10636" s="23" customFormat="1" ht="12.75"/>
    <row r="10637" s="23" customFormat="1" ht="12.75"/>
    <row r="10638" s="23" customFormat="1" ht="12.75"/>
    <row r="10639" s="23" customFormat="1" ht="12.75"/>
    <row r="10640" s="23" customFormat="1" ht="12.75"/>
    <row r="10641" s="23" customFormat="1" ht="12.75"/>
    <row r="10642" s="23" customFormat="1" ht="12.75"/>
    <row r="10643" s="23" customFormat="1" ht="12.75"/>
    <row r="10644" s="23" customFormat="1" ht="12.75"/>
    <row r="10645" s="23" customFormat="1" ht="12.75"/>
    <row r="10646" s="23" customFormat="1" ht="12.75"/>
    <row r="10647" s="23" customFormat="1" ht="12.75"/>
    <row r="10648" s="23" customFormat="1" ht="12.75"/>
    <row r="10649" s="23" customFormat="1" ht="12.75"/>
    <row r="10650" s="23" customFormat="1" ht="12.75"/>
    <row r="10651" s="23" customFormat="1" ht="12.75"/>
    <row r="10652" s="23" customFormat="1" ht="12.75"/>
    <row r="10653" s="23" customFormat="1" ht="12.75"/>
    <row r="10654" s="23" customFormat="1" ht="12.75"/>
    <row r="10655" s="23" customFormat="1" ht="12.75"/>
    <row r="10656" s="23" customFormat="1" ht="12.75"/>
    <row r="10657" s="23" customFormat="1" ht="12.75"/>
    <row r="10658" s="23" customFormat="1" ht="12.75"/>
    <row r="10659" s="23" customFormat="1" ht="12.75"/>
    <row r="10660" s="23" customFormat="1" ht="12.75"/>
    <row r="10661" s="23" customFormat="1" ht="12.75"/>
    <row r="10662" s="23" customFormat="1" ht="12.75"/>
    <row r="10663" s="23" customFormat="1" ht="12.75"/>
    <row r="10664" s="23" customFormat="1" ht="12.75"/>
    <row r="10665" s="23" customFormat="1" ht="12.75"/>
    <row r="10666" s="23" customFormat="1" ht="12.75"/>
    <row r="10667" s="23" customFormat="1" ht="12.75"/>
    <row r="10668" s="23" customFormat="1" ht="12.75"/>
    <row r="10669" s="23" customFormat="1" ht="12.75"/>
    <row r="10670" s="23" customFormat="1" ht="12.75"/>
    <row r="10671" s="23" customFormat="1" ht="12.75"/>
    <row r="10672" s="23" customFormat="1" ht="12.75"/>
    <row r="10673" s="23" customFormat="1" ht="12.75"/>
    <row r="10674" s="23" customFormat="1" ht="12.75"/>
    <row r="10675" s="23" customFormat="1" ht="12.75"/>
    <row r="10676" s="23" customFormat="1" ht="12.75"/>
    <row r="10677" s="23" customFormat="1" ht="12.75"/>
    <row r="10678" s="23" customFormat="1" ht="12.75"/>
    <row r="10679" s="23" customFormat="1" ht="12.75"/>
    <row r="10680" s="23" customFormat="1" ht="12.75"/>
    <row r="10681" s="23" customFormat="1" ht="12.75"/>
    <row r="10682" s="23" customFormat="1" ht="12.75"/>
    <row r="10683" s="23" customFormat="1" ht="12.75"/>
    <row r="10684" s="23" customFormat="1" ht="12.75"/>
    <row r="10685" s="23" customFormat="1" ht="12.75"/>
    <row r="10686" s="23" customFormat="1" ht="12.75"/>
    <row r="10687" s="23" customFormat="1" ht="12.75"/>
    <row r="10688" s="23" customFormat="1" ht="12.75"/>
    <row r="10689" s="23" customFormat="1" ht="12.75"/>
    <row r="10690" s="23" customFormat="1" ht="12.75"/>
    <row r="10691" s="23" customFormat="1" ht="12.75"/>
    <row r="10692" s="23" customFormat="1" ht="12.75"/>
    <row r="10693" s="23" customFormat="1" ht="12.75"/>
    <row r="10694" s="23" customFormat="1" ht="12.75"/>
    <row r="10695" s="23" customFormat="1" ht="12.75"/>
    <row r="10696" s="23" customFormat="1" ht="12.75"/>
    <row r="10697" s="23" customFormat="1" ht="12.75"/>
    <row r="10698" s="23" customFormat="1" ht="12.75"/>
    <row r="10699" s="23" customFormat="1" ht="12.75"/>
    <row r="10700" s="23" customFormat="1" ht="12.75"/>
    <row r="10701" s="23" customFormat="1" ht="12.75"/>
    <row r="10702" s="23" customFormat="1" ht="12.75"/>
    <row r="10703" s="23" customFormat="1" ht="12.75"/>
    <row r="10704" s="23" customFormat="1" ht="12.75"/>
    <row r="10705" s="23" customFormat="1" ht="12.75"/>
    <row r="10706" s="23" customFormat="1" ht="12.75"/>
    <row r="10707" s="23" customFormat="1" ht="12.75"/>
    <row r="10708" s="23" customFormat="1" ht="12.75"/>
    <row r="10709" s="23" customFormat="1" ht="12.75"/>
    <row r="10710" s="23" customFormat="1" ht="12.75"/>
    <row r="10711" s="23" customFormat="1" ht="12.75"/>
    <row r="10712" s="23" customFormat="1" ht="12.75"/>
    <row r="10713" s="23" customFormat="1" ht="12.75"/>
    <row r="10714" s="23" customFormat="1" ht="12.75"/>
    <row r="10715" s="23" customFormat="1" ht="12.75"/>
    <row r="10716" s="23" customFormat="1" ht="12.75"/>
    <row r="10717" s="23" customFormat="1" ht="12.75"/>
    <row r="10718" s="23" customFormat="1" ht="12.75"/>
    <row r="10719" s="23" customFormat="1" ht="12.75"/>
    <row r="10720" s="23" customFormat="1" ht="12.75"/>
    <row r="10721" s="23" customFormat="1" ht="12.75"/>
    <row r="10722" s="23" customFormat="1" ht="12.75"/>
    <row r="10723" s="23" customFormat="1" ht="12.75"/>
    <row r="10724" s="23" customFormat="1" ht="12.75"/>
    <row r="10725" s="23" customFormat="1" ht="12.75"/>
    <row r="10726" s="23" customFormat="1" ht="12.75"/>
    <row r="10727" s="23" customFormat="1" ht="12.75"/>
    <row r="10728" s="23" customFormat="1" ht="12.75"/>
    <row r="10729" s="23" customFormat="1" ht="12.75"/>
    <row r="10730" s="23" customFormat="1" ht="12.75"/>
    <row r="10731" s="23" customFormat="1" ht="12.75"/>
    <row r="10732" s="23" customFormat="1" ht="12.75"/>
    <row r="10733" s="23" customFormat="1" ht="12.75"/>
    <row r="10734" s="23" customFormat="1" ht="12.75"/>
    <row r="10735" s="23" customFormat="1" ht="12.75"/>
    <row r="10736" s="23" customFormat="1" ht="12.75"/>
    <row r="10737" s="23" customFormat="1" ht="12.75"/>
    <row r="10738" s="23" customFormat="1" ht="12.75"/>
    <row r="10739" s="23" customFormat="1" ht="12.75"/>
    <row r="10740" s="23" customFormat="1" ht="12.75"/>
    <row r="10741" s="23" customFormat="1" ht="12.75"/>
    <row r="10742" s="23" customFormat="1" ht="12.75"/>
    <row r="10743" s="23" customFormat="1" ht="12.75"/>
    <row r="10744" s="23" customFormat="1" ht="12.75"/>
    <row r="10745" s="23" customFormat="1" ht="12.75"/>
    <row r="10746" s="23" customFormat="1" ht="12.75"/>
    <row r="10747" s="23" customFormat="1" ht="12.75"/>
    <row r="10748" s="23" customFormat="1" ht="12.75"/>
    <row r="10749" s="23" customFormat="1" ht="12.75"/>
    <row r="10750" s="23" customFormat="1" ht="12.75"/>
    <row r="10751" s="23" customFormat="1" ht="12.75"/>
    <row r="10752" s="23" customFormat="1" ht="12.75"/>
    <row r="10753" s="23" customFormat="1" ht="12.75"/>
    <row r="10754" s="23" customFormat="1" ht="12.75"/>
    <row r="10755" s="23" customFormat="1" ht="12.75"/>
    <row r="10756" s="23" customFormat="1" ht="12.75"/>
    <row r="10757" s="23" customFormat="1" ht="12.75"/>
    <row r="10758" s="23" customFormat="1" ht="12.75"/>
    <row r="10759" s="23" customFormat="1" ht="12.75"/>
    <row r="10760" s="23" customFormat="1" ht="12.75"/>
    <row r="10761" s="23" customFormat="1" ht="12.75"/>
    <row r="10762" s="23" customFormat="1" ht="12.75"/>
    <row r="10763" s="23" customFormat="1" ht="12.75"/>
    <row r="10764" s="23" customFormat="1" ht="12.75"/>
    <row r="10765" s="23" customFormat="1" ht="12.75"/>
    <row r="10766" s="23" customFormat="1" ht="12.75"/>
    <row r="10767" s="23" customFormat="1" ht="12.75"/>
    <row r="10768" s="23" customFormat="1" ht="12.75"/>
    <row r="10769" s="23" customFormat="1" ht="12.75"/>
    <row r="10770" s="23" customFormat="1" ht="12.75"/>
    <row r="10771" s="23" customFormat="1" ht="12.75"/>
    <row r="10772" s="23" customFormat="1" ht="12.75"/>
    <row r="10773" s="23" customFormat="1" ht="12.75"/>
    <row r="10774" s="23" customFormat="1" ht="12.75"/>
    <row r="10775" s="23" customFormat="1" ht="12.75"/>
    <row r="10776" s="23" customFormat="1" ht="12.75"/>
    <row r="10777" s="23" customFormat="1" ht="12.75"/>
    <row r="10778" s="23" customFormat="1" ht="12.75"/>
    <row r="10779" s="23" customFormat="1" ht="12.75"/>
    <row r="10780" s="23" customFormat="1" ht="12.75"/>
    <row r="10781" s="23" customFormat="1" ht="12.75"/>
    <row r="10782" s="23" customFormat="1" ht="12.75"/>
    <row r="10783" s="23" customFormat="1" ht="12.75"/>
    <row r="10784" s="23" customFormat="1" ht="12.75"/>
    <row r="10785" s="23" customFormat="1" ht="12.75"/>
    <row r="10786" s="23" customFormat="1" ht="12.75"/>
    <row r="10787" s="23" customFormat="1" ht="12.75"/>
    <row r="10788" s="23" customFormat="1" ht="12.75"/>
    <row r="10789" s="23" customFormat="1" ht="12.75"/>
    <row r="10790" s="23" customFormat="1" ht="12.75"/>
    <row r="10791" s="23" customFormat="1" ht="12.75"/>
    <row r="10792" s="23" customFormat="1" ht="12.75"/>
    <row r="10793" s="23" customFormat="1" ht="12.75"/>
    <row r="10794" s="23" customFormat="1" ht="12.75"/>
    <row r="10795" s="23" customFormat="1" ht="12.75"/>
    <row r="10796" s="23" customFormat="1" ht="12.75"/>
    <row r="10797" s="23" customFormat="1" ht="12.75"/>
    <row r="10798" s="23" customFormat="1" ht="12.75"/>
    <row r="10799" s="23" customFormat="1" ht="12.75"/>
    <row r="10800" s="23" customFormat="1" ht="12.75"/>
    <row r="10801" s="23" customFormat="1" ht="12.75"/>
    <row r="10802" s="23" customFormat="1" ht="12.75"/>
    <row r="10803" s="23" customFormat="1" ht="12.75"/>
    <row r="10804" s="23" customFormat="1" ht="12.75"/>
    <row r="10805" s="23" customFormat="1" ht="12.75"/>
    <row r="10806" s="23" customFormat="1" ht="12.75"/>
    <row r="10807" s="23" customFormat="1" ht="12.75"/>
    <row r="10808" s="23" customFormat="1" ht="12.75"/>
    <row r="10809" s="23" customFormat="1" ht="12.75"/>
    <row r="10810" s="23" customFormat="1" ht="12.75"/>
    <row r="10811" s="23" customFormat="1" ht="12.75"/>
    <row r="10812" s="23" customFormat="1" ht="12.75"/>
    <row r="10813" s="23" customFormat="1" ht="12.75"/>
    <row r="10814" s="23" customFormat="1" ht="12.75"/>
    <row r="10815" s="23" customFormat="1" ht="12.75"/>
    <row r="10816" s="23" customFormat="1" ht="12.75"/>
    <row r="10817" s="23" customFormat="1" ht="12.75"/>
    <row r="10818" s="23" customFormat="1" ht="12.75"/>
    <row r="10819" s="23" customFormat="1" ht="12.75"/>
    <row r="10820" s="23" customFormat="1" ht="12.75"/>
    <row r="10821" s="23" customFormat="1" ht="12.75"/>
    <row r="10822" s="23" customFormat="1" ht="12.75"/>
    <row r="10823" s="23" customFormat="1" ht="12.75"/>
    <row r="10824" s="23" customFormat="1" ht="12.75"/>
    <row r="10825" s="23" customFormat="1" ht="12.75"/>
    <row r="10826" s="23" customFormat="1" ht="12.75"/>
    <row r="10827" s="23" customFormat="1" ht="12.75"/>
    <row r="10828" s="23" customFormat="1" ht="12.75"/>
    <row r="10829" s="23" customFormat="1" ht="12.75"/>
    <row r="10830" s="23" customFormat="1" ht="12.75"/>
    <row r="10831" s="23" customFormat="1" ht="12.75"/>
    <row r="10832" s="23" customFormat="1" ht="12.75"/>
    <row r="10833" s="23" customFormat="1" ht="12.75"/>
    <row r="10834" s="23" customFormat="1" ht="12.75"/>
    <row r="10835" s="23" customFormat="1" ht="12.75"/>
    <row r="10836" s="23" customFormat="1" ht="12.75"/>
    <row r="10837" s="23" customFormat="1" ht="12.75"/>
    <row r="10838" s="23" customFormat="1" ht="12.75"/>
    <row r="10839" s="23" customFormat="1" ht="12.75"/>
    <row r="10840" s="23" customFormat="1" ht="12.75"/>
    <row r="10841" s="23" customFormat="1" ht="12.75"/>
    <row r="10842" s="23" customFormat="1" ht="12.75"/>
    <row r="10843" s="23" customFormat="1" ht="12.75"/>
    <row r="10844" s="23" customFormat="1" ht="12.75"/>
    <row r="10845" s="23" customFormat="1" ht="12.75"/>
    <row r="10846" s="23" customFormat="1" ht="12.75"/>
    <row r="10847" s="23" customFormat="1" ht="12.75"/>
    <row r="10848" s="23" customFormat="1" ht="12.75"/>
    <row r="10849" s="23" customFormat="1" ht="12.75"/>
    <row r="10850" s="23" customFormat="1" ht="12.75"/>
    <row r="10851" s="23" customFormat="1" ht="12.75"/>
    <row r="10852" s="23" customFormat="1" ht="12.75"/>
    <row r="10853" s="23" customFormat="1" ht="12.75"/>
    <row r="10854" s="23" customFormat="1" ht="12.75"/>
    <row r="10855" s="23" customFormat="1" ht="12.75"/>
    <row r="10856" s="23" customFormat="1" ht="12.75"/>
    <row r="10857" s="23" customFormat="1" ht="12.75"/>
    <row r="10858" s="23" customFormat="1" ht="12.75"/>
    <row r="10859" s="23" customFormat="1" ht="12.75"/>
    <row r="10860" s="23" customFormat="1" ht="12.75"/>
    <row r="10861" s="23" customFormat="1" ht="12.75"/>
    <row r="10862" s="23" customFormat="1" ht="12.75"/>
    <row r="10863" s="23" customFormat="1" ht="12.75"/>
    <row r="10864" s="23" customFormat="1" ht="12.75"/>
    <row r="10865" s="23" customFormat="1" ht="12.75"/>
    <row r="10866" s="23" customFormat="1" ht="12.75"/>
    <row r="10867" s="23" customFormat="1" ht="12.75"/>
    <row r="10868" s="23" customFormat="1" ht="12.75"/>
    <row r="10869" s="23" customFormat="1" ht="12.75"/>
    <row r="10870" s="23" customFormat="1" ht="12.75"/>
    <row r="10871" s="23" customFormat="1" ht="12.75"/>
    <row r="10872" s="23" customFormat="1" ht="12.75"/>
    <row r="10873" s="23" customFormat="1" ht="12.75"/>
    <row r="10874" s="23" customFormat="1" ht="12.75"/>
    <row r="10875" s="23" customFormat="1" ht="12.75"/>
    <row r="10876" s="23" customFormat="1" ht="12.75"/>
    <row r="10877" s="23" customFormat="1" ht="12.75"/>
    <row r="10878" s="23" customFormat="1" ht="12.75"/>
    <row r="10879" s="23" customFormat="1" ht="12.75"/>
    <row r="10880" s="23" customFormat="1" ht="12.75"/>
    <row r="10881" s="23" customFormat="1" ht="12.75"/>
    <row r="10882" s="23" customFormat="1" ht="12.75"/>
    <row r="10883" s="23" customFormat="1" ht="12.75"/>
    <row r="10884" s="23" customFormat="1" ht="12.75"/>
    <row r="10885" s="23" customFormat="1" ht="12.75"/>
    <row r="10886" s="23" customFormat="1" ht="12.75"/>
    <row r="10887" s="23" customFormat="1" ht="12.75"/>
    <row r="10888" s="23" customFormat="1" ht="12.75"/>
    <row r="10889" s="23" customFormat="1" ht="12.75"/>
    <row r="10890" s="23" customFormat="1" ht="12.75"/>
    <row r="10891" s="23" customFormat="1" ht="12.75"/>
    <row r="10892" s="23" customFormat="1" ht="12.75"/>
    <row r="10893" s="23" customFormat="1" ht="12.75"/>
    <row r="10894" s="23" customFormat="1" ht="12.75"/>
    <row r="10895" s="23" customFormat="1" ht="12.75"/>
    <row r="10896" s="23" customFormat="1" ht="12.75"/>
    <row r="10897" s="23" customFormat="1" ht="12.75"/>
    <row r="10898" s="23" customFormat="1" ht="12.75"/>
    <row r="10899" s="23" customFormat="1" ht="12.75"/>
    <row r="10900" s="23" customFormat="1" ht="12.75"/>
    <row r="10901" s="23" customFormat="1" ht="12.75"/>
    <row r="10902" s="23" customFormat="1" ht="12.75"/>
    <row r="10903" s="23" customFormat="1" ht="12.75"/>
    <row r="10904" s="23" customFormat="1" ht="12.75"/>
    <row r="10905" s="23" customFormat="1" ht="12.75"/>
    <row r="10906" s="23" customFormat="1" ht="12.75"/>
    <row r="10907" s="23" customFormat="1" ht="12.75"/>
    <row r="10908" s="23" customFormat="1" ht="12.75"/>
    <row r="10909" s="23" customFormat="1" ht="12.75"/>
    <row r="10910" s="23" customFormat="1" ht="12.75"/>
    <row r="10911" s="23" customFormat="1" ht="12.75"/>
    <row r="10912" s="23" customFormat="1" ht="12.75"/>
    <row r="10913" s="23" customFormat="1" ht="12.75"/>
    <row r="10914" s="23" customFormat="1" ht="12.75"/>
    <row r="10915" s="23" customFormat="1" ht="12.75"/>
    <row r="10916" s="23" customFormat="1" ht="12.75"/>
    <row r="10917" s="23" customFormat="1" ht="12.75"/>
    <row r="10918" s="23" customFormat="1" ht="12.75"/>
    <row r="10919" s="23" customFormat="1" ht="12.75"/>
    <row r="10920" s="23" customFormat="1" ht="12.75"/>
    <row r="10921" s="23" customFormat="1" ht="12.75"/>
    <row r="10922" s="23" customFormat="1" ht="12.75"/>
    <row r="10923" s="23" customFormat="1" ht="12.75"/>
    <row r="10924" s="23" customFormat="1" ht="12.75"/>
    <row r="10925" s="23" customFormat="1" ht="12.75"/>
    <row r="10926" s="23" customFormat="1" ht="12.75"/>
    <row r="10927" s="23" customFormat="1" ht="12.75"/>
    <row r="10928" s="23" customFormat="1" ht="12.75"/>
    <row r="10929" s="23" customFormat="1" ht="12.75"/>
    <row r="10930" s="23" customFormat="1" ht="12.75"/>
    <row r="10931" s="23" customFormat="1" ht="12.75"/>
    <row r="10932" s="23" customFormat="1" ht="12.75"/>
    <row r="10933" s="23" customFormat="1" ht="12.75"/>
    <row r="10934" s="23" customFormat="1" ht="12.75"/>
    <row r="10935" s="23" customFormat="1" ht="12.75"/>
    <row r="10936" s="23" customFormat="1" ht="12.75"/>
    <row r="10937" s="23" customFormat="1" ht="12.75"/>
    <row r="10938" s="23" customFormat="1" ht="12.75"/>
    <row r="10939" s="23" customFormat="1" ht="12.75"/>
    <row r="10940" s="23" customFormat="1" ht="12.75"/>
    <row r="10941" s="23" customFormat="1" ht="12.75"/>
    <row r="10942" s="23" customFormat="1" ht="12.75"/>
    <row r="10943" s="23" customFormat="1" ht="12.75"/>
    <row r="10944" s="23" customFormat="1" ht="12.75"/>
    <row r="10945" s="23" customFormat="1" ht="12.75"/>
    <row r="10946" s="23" customFormat="1" ht="12.75"/>
    <row r="10947" s="23" customFormat="1" ht="12.75"/>
    <row r="10948" s="23" customFormat="1" ht="12.75"/>
    <row r="10949" s="23" customFormat="1" ht="12.75"/>
    <row r="10950" s="23" customFormat="1" ht="12.75"/>
    <row r="10951" s="23" customFormat="1" ht="12.75"/>
    <row r="10952" s="23" customFormat="1" ht="12.75"/>
    <row r="10953" s="23" customFormat="1" ht="12.75"/>
    <row r="10954" s="23" customFormat="1" ht="12.75"/>
    <row r="10955" s="23" customFormat="1" ht="12.75"/>
    <row r="10956" s="23" customFormat="1" ht="12.75"/>
    <row r="10957" s="23" customFormat="1" ht="12.75"/>
    <row r="10958" s="23" customFormat="1" ht="12.75"/>
    <row r="10959" s="23" customFormat="1" ht="12.75"/>
    <row r="10960" s="23" customFormat="1" ht="12.75"/>
    <row r="10961" s="23" customFormat="1" ht="12.75"/>
    <row r="10962" s="23" customFormat="1" ht="12.75"/>
    <row r="10963" s="23" customFormat="1" ht="12.75"/>
    <row r="10964" s="23" customFormat="1" ht="12.75"/>
    <row r="10965" s="23" customFormat="1" ht="12.75"/>
    <row r="10966" s="23" customFormat="1" ht="12.75"/>
    <row r="10967" s="23" customFormat="1" ht="12.75"/>
    <row r="10968" s="23" customFormat="1" ht="12.75"/>
    <row r="10969" s="23" customFormat="1" ht="12.75"/>
    <row r="10970" s="23" customFormat="1" ht="12.75"/>
    <row r="10971" s="23" customFormat="1" ht="12.75"/>
    <row r="10972" s="23" customFormat="1" ht="12.75"/>
    <row r="10973" s="23" customFormat="1" ht="12.75"/>
    <row r="10974" s="23" customFormat="1" ht="12.75"/>
    <row r="10975" s="23" customFormat="1" ht="12.75"/>
    <row r="10976" s="23" customFormat="1" ht="12.75"/>
    <row r="10977" s="23" customFormat="1" ht="12.75"/>
    <row r="10978" s="23" customFormat="1" ht="12.75"/>
    <row r="10979" s="23" customFormat="1" ht="12.75"/>
    <row r="10980" s="23" customFormat="1" ht="12.75"/>
    <row r="10981" s="23" customFormat="1" ht="12.75"/>
    <row r="10982" s="23" customFormat="1" ht="12.75"/>
    <row r="10983" s="23" customFormat="1" ht="12.75"/>
    <row r="10984" s="23" customFormat="1" ht="12.75"/>
    <row r="10985" s="23" customFormat="1" ht="12.75"/>
    <row r="10986" s="23" customFormat="1" ht="12.75"/>
    <row r="10987" s="23" customFormat="1" ht="12.75"/>
    <row r="10988" s="23" customFormat="1" ht="12.75"/>
    <row r="10989" s="23" customFormat="1" ht="12.75"/>
    <row r="10990" s="23" customFormat="1" ht="12.75"/>
    <row r="10991" s="23" customFormat="1" ht="12.75"/>
    <row r="10992" s="23" customFormat="1" ht="12.75"/>
    <row r="10993" s="23" customFormat="1" ht="12.75"/>
    <row r="10994" s="23" customFormat="1" ht="12.75"/>
    <row r="10995" s="23" customFormat="1" ht="12.75"/>
    <row r="10996" s="23" customFormat="1" ht="12.75"/>
    <row r="10997" s="23" customFormat="1" ht="12.75"/>
    <row r="10998" s="23" customFormat="1" ht="12.75"/>
    <row r="10999" s="23" customFormat="1" ht="12.75"/>
    <row r="11000" s="23" customFormat="1" ht="12.75"/>
    <row r="11001" s="23" customFormat="1" ht="12.75"/>
    <row r="11002" s="23" customFormat="1" ht="12.75"/>
    <row r="11003" s="23" customFormat="1" ht="12.75"/>
    <row r="11004" s="23" customFormat="1" ht="12.75"/>
    <row r="11005" s="23" customFormat="1" ht="12.75"/>
    <row r="11006" s="23" customFormat="1" ht="12.75"/>
    <row r="11007" s="23" customFormat="1" ht="12.75"/>
    <row r="11008" s="23" customFormat="1" ht="12.75"/>
    <row r="11009" s="23" customFormat="1" ht="12.75"/>
    <row r="11010" s="23" customFormat="1" ht="12.75"/>
    <row r="11011" s="23" customFormat="1" ht="12.75"/>
    <row r="11012" s="23" customFormat="1" ht="12.75"/>
    <row r="11013" s="23" customFormat="1" ht="12.75"/>
    <row r="11014" s="23" customFormat="1" ht="12.75"/>
    <row r="11015" s="23" customFormat="1" ht="12.75"/>
    <row r="11016" s="23" customFormat="1" ht="12.75"/>
    <row r="11017" s="23" customFormat="1" ht="12.75"/>
    <row r="11018" s="23" customFormat="1" ht="12.75"/>
    <row r="11019" s="23" customFormat="1" ht="12.75"/>
    <row r="11020" s="23" customFormat="1" ht="12.75"/>
    <row r="11021" s="23" customFormat="1" ht="12.75"/>
    <row r="11022" s="23" customFormat="1" ht="12.75"/>
    <row r="11023" s="23" customFormat="1" ht="12.75"/>
    <row r="11024" s="23" customFormat="1" ht="12.75"/>
    <row r="11025" s="23" customFormat="1" ht="12.75"/>
    <row r="11026" s="23" customFormat="1" ht="12.75"/>
    <row r="11027" s="23" customFormat="1" ht="12.75"/>
    <row r="11028" s="23" customFormat="1" ht="12.75"/>
    <row r="11029" s="23" customFormat="1" ht="12.75"/>
    <row r="11030" s="23" customFormat="1" ht="12.75"/>
    <row r="11031" s="23" customFormat="1" ht="12.75"/>
    <row r="11032" s="23" customFormat="1" ht="12.75"/>
    <row r="11033" s="23" customFormat="1" ht="12.75"/>
    <row r="11034" s="23" customFormat="1" ht="12.75"/>
    <row r="11035" s="23" customFormat="1" ht="12.75"/>
    <row r="11036" s="23" customFormat="1" ht="12.75"/>
    <row r="11037" s="23" customFormat="1" ht="12.75"/>
    <row r="11038" s="23" customFormat="1" ht="12.75"/>
    <row r="11039" s="23" customFormat="1" ht="12.75"/>
    <row r="11040" s="23" customFormat="1" ht="12.75"/>
    <row r="11041" s="23" customFormat="1" ht="12.75"/>
    <row r="11042" s="23" customFormat="1" ht="12.75"/>
    <row r="11043" s="23" customFormat="1" ht="12.75"/>
    <row r="11044" s="23" customFormat="1" ht="12.75"/>
    <row r="11045" s="23" customFormat="1" ht="12.75"/>
    <row r="11046" s="23" customFormat="1" ht="12.75"/>
    <row r="11047" s="23" customFormat="1" ht="12.75"/>
    <row r="11048" s="23" customFormat="1" ht="12.75"/>
    <row r="11049" s="23" customFormat="1" ht="12.75"/>
    <row r="11050" s="23" customFormat="1" ht="12.75"/>
    <row r="11051" s="23" customFormat="1" ht="12.75"/>
    <row r="11052" s="23" customFormat="1" ht="12.75"/>
    <row r="11053" s="23" customFormat="1" ht="12.75"/>
    <row r="11054" s="23" customFormat="1" ht="12.75"/>
    <row r="11055" s="23" customFormat="1" ht="12.75"/>
    <row r="11056" s="23" customFormat="1" ht="12.75"/>
    <row r="11057" s="23" customFormat="1" ht="12.75"/>
    <row r="11058" s="23" customFormat="1" ht="12.75"/>
    <row r="11059" s="23" customFormat="1" ht="12.75"/>
    <row r="11060" s="23" customFormat="1" ht="12.75"/>
    <row r="11061" s="23" customFormat="1" ht="12.75"/>
    <row r="11062" s="23" customFormat="1" ht="12.75"/>
    <row r="11063" s="23" customFormat="1" ht="12.75"/>
    <row r="11064" s="23" customFormat="1" ht="12.75"/>
    <row r="11065" s="23" customFormat="1" ht="12.75"/>
    <row r="11066" s="23" customFormat="1" ht="12.75"/>
    <row r="11067" s="23" customFormat="1" ht="12.75"/>
    <row r="11068" s="23" customFormat="1" ht="12.75"/>
    <row r="11069" s="23" customFormat="1" ht="12.75"/>
    <row r="11070" s="23" customFormat="1" ht="12.75"/>
    <row r="11071" s="23" customFormat="1" ht="12.75"/>
    <row r="11072" s="23" customFormat="1" ht="12.75"/>
    <row r="11073" s="23" customFormat="1" ht="12.75"/>
    <row r="11074" s="23" customFormat="1" ht="12.75"/>
    <row r="11075" s="23" customFormat="1" ht="12.75"/>
    <row r="11076" s="23" customFormat="1" ht="12.75"/>
    <row r="11077" s="23" customFormat="1" ht="12.75"/>
    <row r="11078" s="23" customFormat="1" ht="12.75"/>
    <row r="11079" s="23" customFormat="1" ht="12.75"/>
    <row r="11080" s="23" customFormat="1" ht="12.75"/>
    <row r="11081" s="23" customFormat="1" ht="12.75"/>
    <row r="11082" s="23" customFormat="1" ht="12.75"/>
    <row r="11083" s="23" customFormat="1" ht="12.75"/>
    <row r="11084" s="23" customFormat="1" ht="12.75"/>
    <row r="11085" s="23" customFormat="1" ht="12.75"/>
    <row r="11086" s="23" customFormat="1" ht="12.75"/>
    <row r="11087" s="23" customFormat="1" ht="12.75"/>
    <row r="11088" s="23" customFormat="1" ht="12.75"/>
    <row r="11089" s="23" customFormat="1" ht="12.75"/>
    <row r="11090" s="23" customFormat="1" ht="12.75"/>
    <row r="11091" s="23" customFormat="1" ht="12.75"/>
    <row r="11092" s="23" customFormat="1" ht="12.75"/>
    <row r="11093" s="23" customFormat="1" ht="12.75"/>
    <row r="11094" s="23" customFormat="1" ht="12.75"/>
    <row r="11095" s="23" customFormat="1" ht="12.75"/>
    <row r="11096" s="23" customFormat="1" ht="12.75"/>
    <row r="11097" s="23" customFormat="1" ht="12.75"/>
    <row r="11098" s="23" customFormat="1" ht="12.75"/>
    <row r="11099" s="23" customFormat="1" ht="12.75"/>
    <row r="11100" s="23" customFormat="1" ht="12.75"/>
    <row r="11101" s="23" customFormat="1" ht="12.75"/>
    <row r="11102" s="23" customFormat="1" ht="12.75"/>
    <row r="11103" s="23" customFormat="1" ht="12.75"/>
    <row r="11104" s="23" customFormat="1" ht="12.75"/>
    <row r="11105" s="23" customFormat="1" ht="12.75"/>
    <row r="11106" s="23" customFormat="1" ht="12.75"/>
    <row r="11107" s="23" customFormat="1" ht="12.75"/>
    <row r="11108" s="23" customFormat="1" ht="12.75"/>
    <row r="11109" s="23" customFormat="1" ht="12.75"/>
    <row r="11110" s="23" customFormat="1" ht="12.75"/>
    <row r="11111" s="23" customFormat="1" ht="12.75"/>
    <row r="11112" s="23" customFormat="1" ht="12.75"/>
    <row r="11113" s="23" customFormat="1" ht="12.75"/>
    <row r="11114" s="23" customFormat="1" ht="12.75"/>
    <row r="11115" s="23" customFormat="1" ht="12.75"/>
    <row r="11116" s="23" customFormat="1" ht="12.75"/>
    <row r="11117" s="23" customFormat="1" ht="12.75"/>
    <row r="11118" s="23" customFormat="1" ht="12.75"/>
    <row r="11119" s="23" customFormat="1" ht="12.75"/>
    <row r="11120" s="23" customFormat="1" ht="12.75"/>
    <row r="11121" s="23" customFormat="1" ht="12.75"/>
    <row r="11122" s="23" customFormat="1" ht="12.75"/>
    <row r="11123" s="23" customFormat="1" ht="12.75"/>
    <row r="11124" s="23" customFormat="1" ht="12.75"/>
    <row r="11125" s="23" customFormat="1" ht="12.75"/>
    <row r="11126" s="23" customFormat="1" ht="12.75"/>
    <row r="11127" s="23" customFormat="1" ht="12.75"/>
    <row r="11128" s="23" customFormat="1" ht="12.75"/>
    <row r="11129" s="23" customFormat="1" ht="12.75"/>
    <row r="11130" s="23" customFormat="1" ht="12.75"/>
    <row r="11131" s="23" customFormat="1" ht="12.75"/>
    <row r="11132" s="23" customFormat="1" ht="12.75"/>
    <row r="11133" s="23" customFormat="1" ht="12.75"/>
    <row r="11134" s="23" customFormat="1" ht="12.75"/>
    <row r="11135" s="23" customFormat="1" ht="12.75"/>
    <row r="11136" s="23" customFormat="1" ht="12.75"/>
    <row r="11137" s="23" customFormat="1" ht="12.75"/>
    <row r="11138" s="23" customFormat="1" ht="12.75"/>
    <row r="11139" s="23" customFormat="1" ht="12.75"/>
    <row r="11140" s="23" customFormat="1" ht="12.75"/>
    <row r="11141" s="23" customFormat="1" ht="12.75"/>
    <row r="11142" s="23" customFormat="1" ht="12.75"/>
    <row r="11143" s="23" customFormat="1" ht="12.75"/>
    <row r="11144" s="23" customFormat="1" ht="12.75"/>
    <row r="11145" s="23" customFormat="1" ht="12.75"/>
    <row r="11146" s="23" customFormat="1" ht="12.75"/>
    <row r="11147" s="23" customFormat="1" ht="12.75"/>
    <row r="11148" s="23" customFormat="1" ht="12.75"/>
    <row r="11149" s="23" customFormat="1" ht="12.75"/>
    <row r="11150" s="23" customFormat="1" ht="12.75"/>
    <row r="11151" s="23" customFormat="1" ht="12.75"/>
    <row r="11152" s="23" customFormat="1" ht="12.75"/>
    <row r="11153" s="23" customFormat="1" ht="12.75"/>
    <row r="11154" s="23" customFormat="1" ht="12.75"/>
    <row r="11155" s="23" customFormat="1" ht="12.75"/>
    <row r="11156" s="23" customFormat="1" ht="12.75"/>
    <row r="11157" s="23" customFormat="1" ht="12.75"/>
    <row r="11158" s="23" customFormat="1" ht="12.75"/>
    <row r="11159" s="23" customFormat="1" ht="12.75"/>
    <row r="11160" s="23" customFormat="1" ht="12.75"/>
    <row r="11161" s="23" customFormat="1" ht="12.75"/>
    <row r="11162" s="23" customFormat="1" ht="12.75"/>
    <row r="11163" s="23" customFormat="1" ht="12.75"/>
    <row r="11164" s="23" customFormat="1" ht="12.75"/>
    <row r="11165" s="23" customFormat="1" ht="12.75"/>
    <row r="11166" s="23" customFormat="1" ht="12.75"/>
    <row r="11167" s="23" customFormat="1" ht="12.75"/>
    <row r="11168" s="23" customFormat="1" ht="12.75"/>
    <row r="11169" s="23" customFormat="1" ht="12.75"/>
    <row r="11170" s="23" customFormat="1" ht="12.75"/>
    <row r="11171" s="23" customFormat="1" ht="12.75"/>
    <row r="11172" s="23" customFormat="1" ht="12.75"/>
    <row r="11173" s="23" customFormat="1" ht="12.75"/>
    <row r="11174" s="23" customFormat="1" ht="12.75"/>
    <row r="11175" s="23" customFormat="1" ht="12.75"/>
    <row r="11176" s="23" customFormat="1" ht="12.75"/>
    <row r="11177" s="23" customFormat="1" ht="12.75"/>
    <row r="11178" s="23" customFormat="1" ht="12.75"/>
    <row r="11179" s="23" customFormat="1" ht="12.75"/>
    <row r="11180" s="23" customFormat="1" ht="12.75"/>
    <row r="11181" s="23" customFormat="1" ht="12.75"/>
    <row r="11182" s="23" customFormat="1" ht="12.75"/>
    <row r="11183" s="23" customFormat="1" ht="12.75"/>
    <row r="11184" s="23" customFormat="1" ht="12.75"/>
    <row r="11185" s="23" customFormat="1" ht="12.75"/>
    <row r="11186" s="23" customFormat="1" ht="12.75"/>
    <row r="11187" s="23" customFormat="1" ht="12.75"/>
    <row r="11188" s="23" customFormat="1" ht="12.75"/>
    <row r="11189" s="23" customFormat="1" ht="12.75"/>
    <row r="11190" s="23" customFormat="1" ht="12.75"/>
    <row r="11191" s="23" customFormat="1" ht="12.75"/>
    <row r="11192" s="23" customFormat="1" ht="12.75"/>
    <row r="11193" s="23" customFormat="1" ht="12.75"/>
    <row r="11194" s="23" customFormat="1" ht="12.75"/>
    <row r="11195" s="23" customFormat="1" ht="12.75"/>
    <row r="11196" s="23" customFormat="1" ht="12.75"/>
    <row r="11197" s="23" customFormat="1" ht="12.75"/>
    <row r="11198" s="23" customFormat="1" ht="12.75"/>
    <row r="11199" s="23" customFormat="1" ht="12.75"/>
    <row r="11200" s="23" customFormat="1" ht="12.75"/>
    <row r="11201" s="23" customFormat="1" ht="12.75"/>
    <row r="11202" s="23" customFormat="1" ht="12.75"/>
    <row r="11203" s="23" customFormat="1" ht="12.75"/>
    <row r="11204" s="23" customFormat="1" ht="12.75"/>
    <row r="11205" s="23" customFormat="1" ht="12.75"/>
    <row r="11206" s="23" customFormat="1" ht="12.75"/>
    <row r="11207" s="23" customFormat="1" ht="12.75"/>
    <row r="11208" s="23" customFormat="1" ht="12.75"/>
    <row r="11209" s="23" customFormat="1" ht="12.75"/>
    <row r="11210" s="23" customFormat="1" ht="12.75"/>
    <row r="11211" s="23" customFormat="1" ht="12.75"/>
    <row r="11212" s="23" customFormat="1" ht="12.75"/>
    <row r="11213" s="23" customFormat="1" ht="12.75"/>
    <row r="11214" s="23" customFormat="1" ht="12.75"/>
    <row r="11215" s="23" customFormat="1" ht="12.75"/>
    <row r="11216" s="23" customFormat="1" ht="12.75"/>
    <row r="11217" s="23" customFormat="1" ht="12.75"/>
    <row r="11218" s="23" customFormat="1" ht="12.75"/>
    <row r="11219" s="23" customFormat="1" ht="12.75"/>
    <row r="11220" s="23" customFormat="1" ht="12.75"/>
    <row r="11221" s="23" customFormat="1" ht="12.75"/>
    <row r="11222" s="23" customFormat="1" ht="12.75"/>
    <row r="11223" s="23" customFormat="1" ht="12.75"/>
    <row r="11224" s="23" customFormat="1" ht="12.75"/>
    <row r="11225" s="23" customFormat="1" ht="12.75"/>
    <row r="11226" s="23" customFormat="1" ht="12.75"/>
    <row r="11227" s="23" customFormat="1" ht="12.75"/>
    <row r="11228" s="23" customFormat="1" ht="12.75"/>
    <row r="11229" s="23" customFormat="1" ht="12.75"/>
    <row r="11230" s="23" customFormat="1" ht="12.75"/>
    <row r="11231" s="23" customFormat="1" ht="12.75"/>
    <row r="11232" s="23" customFormat="1" ht="12.75"/>
    <row r="11233" s="23" customFormat="1" ht="12.75"/>
    <row r="11234" s="23" customFormat="1" ht="12.75"/>
    <row r="11235" s="23" customFormat="1" ht="12.75"/>
    <row r="11236" s="23" customFormat="1" ht="12.75"/>
    <row r="11237" s="23" customFormat="1" ht="12.75"/>
    <row r="11238" s="23" customFormat="1" ht="12.75"/>
    <row r="11239" s="23" customFormat="1" ht="12.75"/>
    <row r="11240" s="23" customFormat="1" ht="12.75"/>
    <row r="11241" s="23" customFormat="1" ht="12.75"/>
    <row r="11242" s="23" customFormat="1" ht="12.75"/>
    <row r="11243" s="23" customFormat="1" ht="12.75"/>
    <row r="11244" s="23" customFormat="1" ht="12.75"/>
    <row r="11245" s="23" customFormat="1" ht="12.75"/>
    <row r="11246" s="23" customFormat="1" ht="12.75"/>
    <row r="11247" s="23" customFormat="1" ht="12.75"/>
    <row r="11248" s="23" customFormat="1" ht="12.75"/>
    <row r="11249" s="23" customFormat="1" ht="12.75"/>
    <row r="11250" s="23" customFormat="1" ht="12.75"/>
    <row r="11251" s="23" customFormat="1" ht="12.75"/>
    <row r="11252" s="23" customFormat="1" ht="12.75"/>
    <row r="11253" s="23" customFormat="1" ht="12.75"/>
    <row r="11254" s="23" customFormat="1" ht="12.75"/>
    <row r="11255" s="23" customFormat="1" ht="12.75"/>
    <row r="11256" s="23" customFormat="1" ht="12.75"/>
    <row r="11257" s="23" customFormat="1" ht="12.75"/>
    <row r="11258" s="23" customFormat="1" ht="12.75"/>
    <row r="11259" s="23" customFormat="1" ht="12.75"/>
    <row r="11260" s="23" customFormat="1" ht="12.75"/>
    <row r="11261" s="23" customFormat="1" ht="12.75"/>
    <row r="11262" s="23" customFormat="1" ht="12.75"/>
    <row r="11263" s="23" customFormat="1" ht="12.75"/>
    <row r="11264" s="23" customFormat="1" ht="12.75"/>
    <row r="11265" s="23" customFormat="1" ht="12.75"/>
    <row r="11266" s="23" customFormat="1" ht="12.75"/>
    <row r="11267" s="23" customFormat="1" ht="12.75"/>
    <row r="11268" s="23" customFormat="1" ht="12.75"/>
    <row r="11269" s="23" customFormat="1" ht="12.75"/>
    <row r="11270" s="23" customFormat="1" ht="12.75"/>
    <row r="11271" s="23" customFormat="1" ht="12.75"/>
    <row r="11272" s="23" customFormat="1" ht="12.75"/>
    <row r="11273" s="23" customFormat="1" ht="12.75"/>
    <row r="11274" s="23" customFormat="1" ht="12.75"/>
    <row r="11275" s="23" customFormat="1" ht="12.75"/>
    <row r="11276" s="23" customFormat="1" ht="12.75"/>
    <row r="11277" s="23" customFormat="1" ht="12.75"/>
    <row r="11278" s="23" customFormat="1" ht="12.75"/>
    <row r="11279" s="23" customFormat="1" ht="12.75"/>
    <row r="11280" s="23" customFormat="1" ht="12.75"/>
    <row r="11281" s="23" customFormat="1" ht="12.75"/>
    <row r="11282" s="23" customFormat="1" ht="12.75"/>
    <row r="11283" s="23" customFormat="1" ht="12.75"/>
    <row r="11284" s="23" customFormat="1" ht="12.75"/>
    <row r="11285" s="23" customFormat="1" ht="12.75"/>
    <row r="11286" s="23" customFormat="1" ht="12.75"/>
    <row r="11287" s="23" customFormat="1" ht="12.75"/>
    <row r="11288" s="23" customFormat="1" ht="12.75"/>
    <row r="11289" s="23" customFormat="1" ht="12.75"/>
    <row r="11290" s="23" customFormat="1" ht="12.75"/>
    <row r="11291" s="23" customFormat="1" ht="12.75"/>
    <row r="11292" s="23" customFormat="1" ht="12.75"/>
    <row r="11293" s="23" customFormat="1" ht="12.75"/>
    <row r="11294" s="23" customFormat="1" ht="12.75"/>
    <row r="11295" s="23" customFormat="1" ht="12.75"/>
    <row r="11296" s="23" customFormat="1" ht="12.75"/>
    <row r="11297" s="23" customFormat="1" ht="12.75"/>
    <row r="11298" s="23" customFormat="1" ht="12.75"/>
    <row r="11299" s="23" customFormat="1" ht="12.75"/>
    <row r="11300" s="23" customFormat="1" ht="12.75"/>
    <row r="11301" s="23" customFormat="1" ht="12.75"/>
    <row r="11302" s="23" customFormat="1" ht="12.75"/>
    <row r="11303" s="23" customFormat="1" ht="12.75"/>
    <row r="11304" s="23" customFormat="1" ht="12.75"/>
    <row r="11305" s="23" customFormat="1" ht="12.75"/>
    <row r="11306" s="23" customFormat="1" ht="12.75"/>
    <row r="11307" s="23" customFormat="1" ht="12.75"/>
    <row r="11308" s="23" customFormat="1" ht="12.75"/>
    <row r="11309" s="23" customFormat="1" ht="12.75"/>
    <row r="11310" s="23" customFormat="1" ht="12.75"/>
    <row r="11311" s="23" customFormat="1" ht="12.75"/>
    <row r="11312" s="23" customFormat="1" ht="12.75"/>
    <row r="11313" s="23" customFormat="1" ht="12.75"/>
    <row r="11314" s="23" customFormat="1" ht="12.75"/>
    <row r="11315" s="23" customFormat="1" ht="12.75"/>
    <row r="11316" s="23" customFormat="1" ht="12.75"/>
    <row r="11317" s="23" customFormat="1" ht="12.75"/>
    <row r="11318" s="23" customFormat="1" ht="12.75"/>
    <row r="11319" s="23" customFormat="1" ht="12.75"/>
    <row r="11320" s="23" customFormat="1" ht="12.75"/>
    <row r="11321" s="23" customFormat="1" ht="12.75"/>
    <row r="11322" s="23" customFormat="1" ht="12.75"/>
    <row r="11323" s="23" customFormat="1" ht="12.75"/>
    <row r="11324" s="23" customFormat="1" ht="12.75"/>
    <row r="11325" s="23" customFormat="1" ht="12.75"/>
    <row r="11326" s="23" customFormat="1" ht="12.75"/>
    <row r="11327" s="23" customFormat="1" ht="12.75"/>
    <row r="11328" s="23" customFormat="1" ht="12.75"/>
    <row r="11329" s="23" customFormat="1" ht="12.75"/>
    <row r="11330" s="23" customFormat="1" ht="12.75"/>
    <row r="11331" s="23" customFormat="1" ht="12.75"/>
    <row r="11332" s="23" customFormat="1" ht="12.75"/>
    <row r="11333" s="23" customFormat="1" ht="12.75"/>
    <row r="11334" s="23" customFormat="1" ht="12.75"/>
    <row r="11335" s="23" customFormat="1" ht="12.75"/>
    <row r="11336" s="23" customFormat="1" ht="12.75"/>
    <row r="11337" s="23" customFormat="1" ht="12.75"/>
    <row r="11338" s="23" customFormat="1" ht="12.75"/>
    <row r="11339" s="23" customFormat="1" ht="12.75"/>
    <row r="11340" s="23" customFormat="1" ht="12.75"/>
    <row r="11341" s="23" customFormat="1" ht="12.75"/>
    <row r="11342" s="23" customFormat="1" ht="12.75"/>
    <row r="11343" s="23" customFormat="1" ht="12.75"/>
    <row r="11344" s="23" customFormat="1" ht="12.75"/>
    <row r="11345" s="23" customFormat="1" ht="12.75"/>
    <row r="11346" s="23" customFormat="1" ht="12.75"/>
    <row r="11347" s="23" customFormat="1" ht="12.75"/>
    <row r="11348" s="23" customFormat="1" ht="12.75"/>
    <row r="11349" s="23" customFormat="1" ht="12.75"/>
    <row r="11350" s="23" customFormat="1" ht="12.75"/>
    <row r="11351" s="23" customFormat="1" ht="12.75"/>
    <row r="11352" s="23" customFormat="1" ht="12.75"/>
    <row r="11353" s="23" customFormat="1" ht="12.75"/>
    <row r="11354" s="23" customFormat="1" ht="12.75"/>
    <row r="11355" s="23" customFormat="1" ht="12.75"/>
    <row r="11356" s="23" customFormat="1" ht="12.75"/>
    <row r="11357" s="23" customFormat="1" ht="12.75"/>
    <row r="11358" s="23" customFormat="1" ht="12.75"/>
    <row r="11359" s="23" customFormat="1" ht="12.75"/>
    <row r="11360" s="23" customFormat="1" ht="12.75"/>
    <row r="11361" s="23" customFormat="1" ht="12.75"/>
    <row r="11362" s="23" customFormat="1" ht="12.75"/>
    <row r="11363" s="23" customFormat="1" ht="12.75"/>
    <row r="11364" s="23" customFormat="1" ht="12.75"/>
    <row r="11365" s="23" customFormat="1" ht="12.75"/>
    <row r="11366" s="23" customFormat="1" ht="12.75"/>
    <row r="11367" s="23" customFormat="1" ht="12.75"/>
    <row r="11368" s="23" customFormat="1" ht="12.75"/>
    <row r="11369" s="23" customFormat="1" ht="12.75"/>
    <row r="11370" s="23" customFormat="1" ht="12.75"/>
    <row r="11371" s="23" customFormat="1" ht="12.75"/>
    <row r="11372" s="23" customFormat="1" ht="12.75"/>
    <row r="11373" s="23" customFormat="1" ht="12.75"/>
    <row r="11374" s="23" customFormat="1" ht="12.75"/>
    <row r="11375" s="23" customFormat="1" ht="12.75"/>
    <row r="11376" s="23" customFormat="1" ht="12.75"/>
    <row r="11377" s="23" customFormat="1" ht="12.75"/>
    <row r="11378" s="23" customFormat="1" ht="12.75"/>
    <row r="11379" s="23" customFormat="1" ht="12.75"/>
    <row r="11380" s="23" customFormat="1" ht="12.75"/>
    <row r="11381" s="23" customFormat="1" ht="12.75"/>
    <row r="11382" s="23" customFormat="1" ht="12.75"/>
    <row r="11383" s="23" customFormat="1" ht="12.75"/>
    <row r="11384" s="23" customFormat="1" ht="12.75"/>
    <row r="11385" s="23" customFormat="1" ht="12.75"/>
    <row r="11386" s="23" customFormat="1" ht="12.75"/>
    <row r="11387" s="23" customFormat="1" ht="12.75"/>
    <row r="11388" s="23" customFormat="1" ht="12.75"/>
    <row r="11389" s="23" customFormat="1" ht="12.75"/>
    <row r="11390" s="23" customFormat="1" ht="12.75"/>
    <row r="11391" s="23" customFormat="1" ht="12.75"/>
    <row r="11392" s="23" customFormat="1" ht="12.75"/>
    <row r="11393" s="23" customFormat="1" ht="12.75"/>
    <row r="11394" s="23" customFormat="1" ht="12.75"/>
    <row r="11395" s="23" customFormat="1" ht="12.75"/>
    <row r="11396" s="23" customFormat="1" ht="12.75"/>
    <row r="11397" s="23" customFormat="1" ht="12.75"/>
    <row r="11398" s="23" customFormat="1" ht="12.75"/>
    <row r="11399" s="23" customFormat="1" ht="12.75"/>
    <row r="11400" s="23" customFormat="1" ht="12.75"/>
    <row r="11401" s="23" customFormat="1" ht="12.75"/>
    <row r="11402" s="23" customFormat="1" ht="12.75"/>
    <row r="11403" s="23" customFormat="1" ht="12.75"/>
    <row r="11404" s="23" customFormat="1" ht="12.75"/>
    <row r="11405" s="23" customFormat="1" ht="12.75"/>
    <row r="11406" s="23" customFormat="1" ht="12.75"/>
    <row r="11407" s="23" customFormat="1" ht="12.75"/>
    <row r="11408" s="23" customFormat="1" ht="12.75"/>
    <row r="11409" s="23" customFormat="1" ht="12.75"/>
    <row r="11410" s="23" customFormat="1" ht="12.75"/>
    <row r="11411" s="23" customFormat="1" ht="12.75"/>
    <row r="11412" s="23" customFormat="1" ht="12.75"/>
    <row r="11413" s="23" customFormat="1" ht="12.75"/>
    <row r="11414" s="23" customFormat="1" ht="12.75"/>
    <row r="11415" s="23" customFormat="1" ht="12.75"/>
    <row r="11416" s="23" customFormat="1" ht="12.75"/>
    <row r="11417" s="23" customFormat="1" ht="12.75"/>
    <row r="11418" s="23" customFormat="1" ht="12.75"/>
    <row r="11419" s="23" customFormat="1" ht="12.75"/>
    <row r="11420" s="23" customFormat="1" ht="12.75"/>
    <row r="11421" s="23" customFormat="1" ht="12.75"/>
    <row r="11422" s="23" customFormat="1" ht="12.75"/>
    <row r="11423" s="23" customFormat="1" ht="12.75"/>
    <row r="11424" s="23" customFormat="1" ht="12.75"/>
    <row r="11425" s="23" customFormat="1" ht="12.75"/>
    <row r="11426" s="23" customFormat="1" ht="12.75"/>
    <row r="11427" s="23" customFormat="1" ht="12.75"/>
    <row r="11428" s="23" customFormat="1" ht="12.75"/>
    <row r="11429" s="23" customFormat="1" ht="12.75"/>
    <row r="11430" s="23" customFormat="1" ht="12.75"/>
    <row r="11431" s="23" customFormat="1" ht="12.75"/>
    <row r="11432" s="23" customFormat="1" ht="12.75"/>
    <row r="11433" s="23" customFormat="1" ht="12.75"/>
    <row r="11434" s="23" customFormat="1" ht="12.75"/>
    <row r="11435" s="23" customFormat="1" ht="12.75"/>
    <row r="11436" s="23" customFormat="1" ht="12.75"/>
    <row r="11437" s="23" customFormat="1" ht="12.75"/>
    <row r="11438" s="23" customFormat="1" ht="12.75"/>
    <row r="11439" s="23" customFormat="1" ht="12.75"/>
    <row r="11440" s="23" customFormat="1" ht="12.75"/>
    <row r="11441" s="23" customFormat="1" ht="12.75"/>
    <row r="11442" s="23" customFormat="1" ht="12.75"/>
    <row r="11443" s="23" customFormat="1" ht="12.75"/>
    <row r="11444" s="23" customFormat="1" ht="12.75"/>
    <row r="11445" s="23" customFormat="1" ht="12.75"/>
    <row r="11446" s="23" customFormat="1" ht="12.75"/>
    <row r="11447" s="23" customFormat="1" ht="12.75"/>
    <row r="11448" s="23" customFormat="1" ht="12.75"/>
    <row r="11449" s="23" customFormat="1" ht="12.75"/>
    <row r="11450" s="23" customFormat="1" ht="12.75"/>
    <row r="11451" s="23" customFormat="1" ht="12.75"/>
    <row r="11452" s="23" customFormat="1" ht="12.75"/>
    <row r="11453" s="23" customFormat="1" ht="12.75"/>
    <row r="11454" s="23" customFormat="1" ht="12.75"/>
    <row r="11455" s="23" customFormat="1" ht="12.75"/>
    <row r="11456" s="23" customFormat="1" ht="12.75"/>
    <row r="11457" s="23" customFormat="1" ht="12.75"/>
    <row r="11458" s="23" customFormat="1" ht="12.75"/>
    <row r="11459" s="23" customFormat="1" ht="12.75"/>
    <row r="11460" s="23" customFormat="1" ht="12.75"/>
    <row r="11461" s="23" customFormat="1" ht="12.75"/>
    <row r="11462" s="23" customFormat="1" ht="12.75"/>
    <row r="11463" s="23" customFormat="1" ht="12.75"/>
    <row r="11464" s="23" customFormat="1" ht="12.75"/>
    <row r="11465" s="23" customFormat="1" ht="12.75"/>
    <row r="11466" s="23" customFormat="1" ht="12.75"/>
    <row r="11467" s="23" customFormat="1" ht="12.75"/>
    <row r="11468" s="23" customFormat="1" ht="12.75"/>
    <row r="11469" s="23" customFormat="1" ht="12.75"/>
    <row r="11470" s="23" customFormat="1" ht="12.75"/>
    <row r="11471" s="23" customFormat="1" ht="12.75"/>
    <row r="11472" s="23" customFormat="1" ht="12.75"/>
    <row r="11473" s="23" customFormat="1" ht="12.75"/>
    <row r="11474" s="23" customFormat="1" ht="12.75"/>
    <row r="11475" s="23" customFormat="1" ht="12.75"/>
    <row r="11476" s="23" customFormat="1" ht="12.75"/>
    <row r="11477" s="23" customFormat="1" ht="12.75"/>
    <row r="11478" s="23" customFormat="1" ht="12.75"/>
    <row r="11479" s="23" customFormat="1" ht="12.75"/>
    <row r="11480" s="23" customFormat="1" ht="12.75"/>
    <row r="11481" s="23" customFormat="1" ht="12.75"/>
    <row r="11482" s="23" customFormat="1" ht="12.75"/>
    <row r="11483" s="23" customFormat="1" ht="12.75"/>
    <row r="11484" s="23" customFormat="1" ht="12.75"/>
    <row r="11485" s="23" customFormat="1" ht="12.75"/>
    <row r="11486" s="23" customFormat="1" ht="12.75"/>
    <row r="11487" s="23" customFormat="1" ht="12.75"/>
    <row r="11488" s="23" customFormat="1" ht="12.75"/>
    <row r="11489" s="23" customFormat="1" ht="12.75"/>
    <row r="11490" s="23" customFormat="1" ht="12.75"/>
    <row r="11491" s="23" customFormat="1" ht="12.75"/>
    <row r="11492" s="23" customFormat="1" ht="12.75"/>
    <row r="11493" s="23" customFormat="1" ht="12.75"/>
    <row r="11494" s="23" customFormat="1" ht="12.75"/>
    <row r="11495" s="23" customFormat="1" ht="12.75"/>
    <row r="11496" s="23" customFormat="1" ht="12.75"/>
    <row r="11497" s="23" customFormat="1" ht="12.75"/>
    <row r="11498" s="23" customFormat="1" ht="12.75"/>
    <row r="11499" s="23" customFormat="1" ht="12.75"/>
    <row r="11500" s="23" customFormat="1" ht="12.75"/>
    <row r="11501" s="23" customFormat="1" ht="12.75"/>
    <row r="11502" s="23" customFormat="1" ht="12.75"/>
    <row r="11503" s="23" customFormat="1" ht="12.75"/>
    <row r="11504" s="23" customFormat="1" ht="12.75"/>
    <row r="11505" s="23" customFormat="1" ht="12.75"/>
    <row r="11506" s="23" customFormat="1" ht="12.75"/>
    <row r="11507" s="23" customFormat="1" ht="12.75"/>
    <row r="11508" s="23" customFormat="1" ht="12.75"/>
    <row r="11509" s="23" customFormat="1" ht="12.75"/>
    <row r="11510" s="23" customFormat="1" ht="12.75"/>
    <row r="11511" s="23" customFormat="1" ht="12.75"/>
    <row r="11512" s="23" customFormat="1" ht="12.75"/>
    <row r="11513" s="23" customFormat="1" ht="12.75"/>
    <row r="11514" s="23" customFormat="1" ht="12.75"/>
    <row r="11515" s="23" customFormat="1" ht="12.75"/>
    <row r="11516" s="23" customFormat="1" ht="12.75"/>
    <row r="11517" s="23" customFormat="1" ht="12.75"/>
    <row r="11518" s="23" customFormat="1" ht="12.75"/>
    <row r="11519" s="23" customFormat="1" ht="12.75"/>
    <row r="11520" s="23" customFormat="1" ht="12.75"/>
    <row r="11521" s="23" customFormat="1" ht="12.75"/>
    <row r="11522" s="23" customFormat="1" ht="12.75"/>
    <row r="11523" s="23" customFormat="1" ht="12.75"/>
    <row r="11524" s="23" customFormat="1" ht="12.75"/>
    <row r="11525" s="23" customFormat="1" ht="12.75"/>
    <row r="11526" s="23" customFormat="1" ht="12.75"/>
    <row r="11527" s="23" customFormat="1" ht="12.75"/>
    <row r="11528" s="23" customFormat="1" ht="12.75"/>
    <row r="11529" s="23" customFormat="1" ht="12.75"/>
    <row r="11530" s="23" customFormat="1" ht="12.75"/>
    <row r="11531" s="23" customFormat="1" ht="12.75"/>
    <row r="11532" s="23" customFormat="1" ht="12.75"/>
    <row r="11533" s="23" customFormat="1" ht="12.75"/>
    <row r="11534" s="23" customFormat="1" ht="12.75"/>
    <row r="11535" s="23" customFormat="1" ht="12.75"/>
    <row r="11536" s="23" customFormat="1" ht="12.75"/>
    <row r="11537" s="23" customFormat="1" ht="12.75"/>
    <row r="11538" s="23" customFormat="1" ht="12.75"/>
    <row r="11539" s="23" customFormat="1" ht="12.75"/>
    <row r="11540" s="23" customFormat="1" ht="12.75"/>
    <row r="11541" s="23" customFormat="1" ht="12.75"/>
    <row r="11542" s="23" customFormat="1" ht="12.75"/>
    <row r="11543" s="23" customFormat="1" ht="12.75"/>
    <row r="11544" s="23" customFormat="1" ht="12.75"/>
    <row r="11545" s="23" customFormat="1" ht="12.75"/>
    <row r="11546" s="23" customFormat="1" ht="12.75"/>
    <row r="11547" s="23" customFormat="1" ht="12.75"/>
    <row r="11548" s="23" customFormat="1" ht="12.75"/>
    <row r="11549" s="23" customFormat="1" ht="12.75"/>
    <row r="11550" s="23" customFormat="1" ht="12.75"/>
    <row r="11551" s="23" customFormat="1" ht="12.75"/>
    <row r="11552" s="23" customFormat="1" ht="12.75"/>
    <row r="11553" s="23" customFormat="1" ht="12.75"/>
    <row r="11554" s="23" customFormat="1" ht="12.75"/>
    <row r="11555" s="23" customFormat="1" ht="12.75"/>
    <row r="11556" s="23" customFormat="1" ht="12.75"/>
    <row r="11557" s="23" customFormat="1" ht="12.75"/>
    <row r="11558" s="23" customFormat="1" ht="12.75"/>
    <row r="11559" s="23" customFormat="1" ht="12.75"/>
    <row r="11560" s="23" customFormat="1" ht="12.75"/>
    <row r="11561" s="23" customFormat="1" ht="12.75"/>
    <row r="11562" s="23" customFormat="1" ht="12.75"/>
    <row r="11563" s="23" customFormat="1" ht="12.75"/>
    <row r="11564" s="23" customFormat="1" ht="12.75"/>
    <row r="11565" s="23" customFormat="1" ht="12.75"/>
    <row r="11566" s="23" customFormat="1" ht="12.75"/>
    <row r="11567" s="23" customFormat="1" ht="12.75"/>
    <row r="11568" s="23" customFormat="1" ht="12.75"/>
    <row r="11569" s="23" customFormat="1" ht="12.75"/>
    <row r="11570" s="23" customFormat="1" ht="12.75"/>
    <row r="11571" s="23" customFormat="1" ht="12.75"/>
    <row r="11572" s="23" customFormat="1" ht="12.75"/>
    <row r="11573" s="23" customFormat="1" ht="12.75"/>
    <row r="11574" s="23" customFormat="1" ht="12.75"/>
    <row r="11575" s="23" customFormat="1" ht="12.75"/>
    <row r="11576" s="23" customFormat="1" ht="12.75"/>
    <row r="11577" s="23" customFormat="1" ht="12.75"/>
    <row r="11578" s="23" customFormat="1" ht="12.75"/>
    <row r="11579" s="23" customFormat="1" ht="12.75"/>
    <row r="11580" s="23" customFormat="1" ht="12.75"/>
    <row r="11581" s="23" customFormat="1" ht="12.75"/>
    <row r="11582" s="23" customFormat="1" ht="12.75"/>
    <row r="11583" s="23" customFormat="1" ht="12.75"/>
    <row r="11584" s="23" customFormat="1" ht="12.75"/>
    <row r="11585" s="23" customFormat="1" ht="12.75"/>
    <row r="11586" s="23" customFormat="1" ht="12.75"/>
    <row r="11587" s="23" customFormat="1" ht="12.75"/>
    <row r="11588" s="23" customFormat="1" ht="12.75"/>
    <row r="11589" s="23" customFormat="1" ht="12.75"/>
    <row r="11590" s="23" customFormat="1" ht="12.75"/>
    <row r="11591" s="23" customFormat="1" ht="12.75"/>
    <row r="11592" s="23" customFormat="1" ht="12.75"/>
    <row r="11593" s="23" customFormat="1" ht="12.75"/>
    <row r="11594" s="23" customFormat="1" ht="12.75"/>
    <row r="11595" s="23" customFormat="1" ht="12.75"/>
    <row r="11596" s="23" customFormat="1" ht="12.75"/>
    <row r="11597" s="23" customFormat="1" ht="12.75"/>
    <row r="11598" s="23" customFormat="1" ht="12.75"/>
    <row r="11599" s="23" customFormat="1" ht="12.75"/>
    <row r="11600" s="23" customFormat="1" ht="12.75"/>
    <row r="11601" s="23" customFormat="1" ht="12.75"/>
    <row r="11602" s="23" customFormat="1" ht="12.75"/>
    <row r="11603" s="23" customFormat="1" ht="12.75"/>
    <row r="11604" s="23" customFormat="1" ht="12.75"/>
    <row r="11605" s="23" customFormat="1" ht="12.75"/>
    <row r="11606" s="23" customFormat="1" ht="12.75"/>
    <row r="11607" s="23" customFormat="1" ht="12.75"/>
    <row r="11608" s="23" customFormat="1" ht="12.75"/>
    <row r="11609" s="23" customFormat="1" ht="12.75"/>
    <row r="11610" s="23" customFormat="1" ht="12.75"/>
    <row r="11611" s="23" customFormat="1" ht="12.75"/>
    <row r="11612" s="23" customFormat="1" ht="12.75"/>
    <row r="11613" s="23" customFormat="1" ht="12.75"/>
    <row r="11614" s="23" customFormat="1" ht="12.75"/>
    <row r="11615" s="23" customFormat="1" ht="12.75"/>
    <row r="11616" s="23" customFormat="1" ht="12.75"/>
    <row r="11617" s="23" customFormat="1" ht="12.75"/>
    <row r="11618" s="23" customFormat="1" ht="12.75"/>
    <row r="11619" s="23" customFormat="1" ht="12.75"/>
    <row r="11620" s="23" customFormat="1" ht="12.75"/>
    <row r="11621" s="23" customFormat="1" ht="12.75"/>
    <row r="11622" s="23" customFormat="1" ht="12.75"/>
    <row r="11623" s="23" customFormat="1" ht="12.75"/>
    <row r="11624" s="23" customFormat="1" ht="12.75"/>
    <row r="11625" s="23" customFormat="1" ht="12.75"/>
    <row r="11626" s="23" customFormat="1" ht="12.75"/>
    <row r="11627" s="23" customFormat="1" ht="12.75"/>
    <row r="11628" s="23" customFormat="1" ht="12.75"/>
    <row r="11629" s="23" customFormat="1" ht="12.75"/>
    <row r="11630" s="23" customFormat="1" ht="12.75"/>
    <row r="11631" s="23" customFormat="1" ht="12.75"/>
    <row r="11632" s="23" customFormat="1" ht="12.75"/>
    <row r="11633" s="23" customFormat="1" ht="12.75"/>
    <row r="11634" s="23" customFormat="1" ht="12.75"/>
    <row r="11635" s="23" customFormat="1" ht="12.75"/>
    <row r="11636" s="23" customFormat="1" ht="12.75"/>
    <row r="11637" s="23" customFormat="1" ht="12.75"/>
    <row r="11638" s="23" customFormat="1" ht="12.75"/>
    <row r="11639" s="23" customFormat="1" ht="12.75"/>
    <row r="11640" s="23" customFormat="1" ht="12.75"/>
    <row r="11641" s="23" customFormat="1" ht="12.75"/>
    <row r="11642" s="23" customFormat="1" ht="12.75"/>
    <row r="11643" s="23" customFormat="1" ht="12.75"/>
    <row r="11644" s="23" customFormat="1" ht="12.75"/>
    <row r="11645" s="23" customFormat="1" ht="12.75"/>
    <row r="11646" s="23" customFormat="1" ht="12.75"/>
    <row r="11647" s="23" customFormat="1" ht="12.75"/>
    <row r="11648" s="23" customFormat="1" ht="12.75"/>
    <row r="11649" s="23" customFormat="1" ht="12.75"/>
    <row r="11650" s="23" customFormat="1" ht="12.75"/>
    <row r="11651" s="23" customFormat="1" ht="12.75"/>
    <row r="11652" s="23" customFormat="1" ht="12.75"/>
    <row r="11653" s="23" customFormat="1" ht="12.75"/>
    <row r="11654" s="23" customFormat="1" ht="12.75"/>
    <row r="11655" s="23" customFormat="1" ht="12.75"/>
    <row r="11656" s="23" customFormat="1" ht="12.75"/>
    <row r="11657" s="23" customFormat="1" ht="12.75"/>
    <row r="11658" s="23" customFormat="1" ht="12.75"/>
    <row r="11659" s="23" customFormat="1" ht="12.75"/>
    <row r="11660" s="23" customFormat="1" ht="12.75"/>
    <row r="11661" s="23" customFormat="1" ht="12.75"/>
    <row r="11662" s="23" customFormat="1" ht="12.75"/>
    <row r="11663" s="23" customFormat="1" ht="12.75"/>
    <row r="11664" s="23" customFormat="1" ht="12.75"/>
    <row r="11665" s="23" customFormat="1" ht="12.75"/>
    <row r="11666" s="23" customFormat="1" ht="12.75"/>
    <row r="11667" s="23" customFormat="1" ht="12.75"/>
    <row r="11668" s="23" customFormat="1" ht="12.75"/>
    <row r="11669" s="23" customFormat="1" ht="12.75"/>
    <row r="11670" s="23" customFormat="1" ht="12.75"/>
    <row r="11671" s="23" customFormat="1" ht="12.75"/>
    <row r="11672" s="23" customFormat="1" ht="12.75"/>
    <row r="11673" s="23" customFormat="1" ht="12.75"/>
    <row r="11674" s="23" customFormat="1" ht="12.75"/>
    <row r="11675" s="23" customFormat="1" ht="12.75"/>
    <row r="11676" s="23" customFormat="1" ht="12.75"/>
    <row r="11677" s="23" customFormat="1" ht="12.75"/>
    <row r="11678" s="23" customFormat="1" ht="12.75"/>
    <row r="11679" s="23" customFormat="1" ht="12.75"/>
    <row r="11680" s="23" customFormat="1" ht="12.75"/>
    <row r="11681" s="23" customFormat="1" ht="12.75"/>
    <row r="11682" s="23" customFormat="1" ht="12.75"/>
    <row r="11683" s="23" customFormat="1" ht="12.75"/>
    <row r="11684" s="23" customFormat="1" ht="12.75"/>
    <row r="11685" s="23" customFormat="1" ht="12.75"/>
    <row r="11686" s="23" customFormat="1" ht="12.75"/>
    <row r="11687" s="23" customFormat="1" ht="12.75"/>
    <row r="11688" s="23" customFormat="1" ht="12.75"/>
    <row r="11689" s="23" customFormat="1" ht="12.75"/>
    <row r="11690" s="23" customFormat="1" ht="12.75"/>
    <row r="11691" s="23" customFormat="1" ht="12.75"/>
    <row r="11692" s="23" customFormat="1" ht="12.75"/>
    <row r="11693" s="23" customFormat="1" ht="12.75"/>
    <row r="11694" s="23" customFormat="1" ht="12.75"/>
    <row r="11695" s="23" customFormat="1" ht="12.75"/>
    <row r="11696" s="23" customFormat="1" ht="12.75"/>
    <row r="11697" s="23" customFormat="1" ht="12.75"/>
    <row r="11698" s="23" customFormat="1" ht="12.75"/>
    <row r="11699" s="23" customFormat="1" ht="12.75"/>
    <row r="11700" s="23" customFormat="1" ht="12.75"/>
    <row r="11701" s="23" customFormat="1" ht="12.75"/>
    <row r="11702" s="23" customFormat="1" ht="12.75"/>
    <row r="11703" s="23" customFormat="1" ht="12.75"/>
    <row r="11704" s="23" customFormat="1" ht="12.75"/>
    <row r="11705" s="23" customFormat="1" ht="12.75"/>
    <row r="11706" s="23" customFormat="1" ht="12.75"/>
    <row r="11707" s="23" customFormat="1" ht="12.75"/>
    <row r="11708" s="23" customFormat="1" ht="12.75"/>
    <row r="11709" s="23" customFormat="1" ht="12.75"/>
    <row r="11710" s="23" customFormat="1" ht="12.75"/>
    <row r="11711" s="23" customFormat="1" ht="12.75"/>
    <row r="11712" s="23" customFormat="1" ht="12.75"/>
    <row r="11713" s="23" customFormat="1" ht="12.75"/>
    <row r="11714" s="23" customFormat="1" ht="12.75"/>
    <row r="11715" s="23" customFormat="1" ht="12.75"/>
    <row r="11716" s="23" customFormat="1" ht="12.75"/>
    <row r="11717" s="23" customFormat="1" ht="12.75"/>
    <row r="11718" s="23" customFormat="1" ht="12.75"/>
    <row r="11719" s="23" customFormat="1" ht="12.75"/>
    <row r="11720" s="23" customFormat="1" ht="12.75"/>
    <row r="11721" s="23" customFormat="1" ht="12.75"/>
    <row r="11722" s="23" customFormat="1" ht="12.75"/>
    <row r="11723" s="23" customFormat="1" ht="12.75"/>
    <row r="11724" s="23" customFormat="1" ht="12.75"/>
    <row r="11725" s="23" customFormat="1" ht="12.75"/>
    <row r="11726" s="23" customFormat="1" ht="12.75"/>
    <row r="11727" s="23" customFormat="1" ht="12.75"/>
    <row r="11728" s="23" customFormat="1" ht="12.75"/>
    <row r="11729" s="23" customFormat="1" ht="12.75"/>
    <row r="11730" s="23" customFormat="1" ht="12.75"/>
    <row r="11731" s="23" customFormat="1" ht="12.75"/>
    <row r="11732" s="23" customFormat="1" ht="12.75"/>
    <row r="11733" s="23" customFormat="1" ht="12.75"/>
    <row r="11734" s="23" customFormat="1" ht="12.75"/>
    <row r="11735" s="23" customFormat="1" ht="12.75"/>
    <row r="11736" s="23" customFormat="1" ht="12.75"/>
    <row r="11737" s="23" customFormat="1" ht="12.75"/>
    <row r="11738" s="23" customFormat="1" ht="12.75"/>
    <row r="11739" s="23" customFormat="1" ht="12.75"/>
    <row r="11740" s="23" customFormat="1" ht="12.75"/>
    <row r="11741" s="23" customFormat="1" ht="12.75"/>
    <row r="11742" s="23" customFormat="1" ht="12.75"/>
    <row r="11743" s="23" customFormat="1" ht="12.75"/>
    <row r="11744" s="23" customFormat="1" ht="12.75"/>
    <row r="11745" s="23" customFormat="1" ht="12.75"/>
    <row r="11746" s="23" customFormat="1" ht="12.75"/>
    <row r="11747" s="23" customFormat="1" ht="12.75"/>
    <row r="11748" s="23" customFormat="1" ht="12.75"/>
    <row r="11749" s="23" customFormat="1" ht="12.75"/>
    <row r="11750" s="23" customFormat="1" ht="12.75"/>
    <row r="11751" s="23" customFormat="1" ht="12.75"/>
    <row r="11752" s="23" customFormat="1" ht="12.75"/>
    <row r="11753" s="23" customFormat="1" ht="12.75"/>
    <row r="11754" s="23" customFormat="1" ht="12.75"/>
    <row r="11755" s="23" customFormat="1" ht="12.75"/>
    <row r="11756" s="23" customFormat="1" ht="12.75"/>
    <row r="11757" s="23" customFormat="1" ht="12.75"/>
    <row r="11758" s="23" customFormat="1" ht="12.75"/>
    <row r="11759" s="23" customFormat="1" ht="12.75"/>
    <row r="11760" s="23" customFormat="1" ht="12.75"/>
    <row r="11761" s="23" customFormat="1" ht="12.75"/>
    <row r="11762" s="23" customFormat="1" ht="12.75"/>
    <row r="11763" s="23" customFormat="1" ht="12.75"/>
    <row r="11764" s="23" customFormat="1" ht="12.75"/>
    <row r="11765" s="23" customFormat="1" ht="12.75"/>
    <row r="11766" s="23" customFormat="1" ht="12.75"/>
    <row r="11767" s="23" customFormat="1" ht="12.75"/>
    <row r="11768" s="23" customFormat="1" ht="12.75"/>
    <row r="11769" s="23" customFormat="1" ht="12.75"/>
    <row r="11770" s="23" customFormat="1" ht="12.75"/>
    <row r="11771" s="23" customFormat="1" ht="12.75"/>
    <row r="11772" s="23" customFormat="1" ht="12.75"/>
    <row r="11773" s="23" customFormat="1" ht="12.75"/>
    <row r="11774" s="23" customFormat="1" ht="12.75"/>
    <row r="11775" s="23" customFormat="1" ht="12.75"/>
    <row r="11776" s="23" customFormat="1" ht="12.75"/>
    <row r="11777" s="23" customFormat="1" ht="12.75"/>
    <row r="11778" s="23" customFormat="1" ht="12.75"/>
    <row r="11779" s="23" customFormat="1" ht="12.75"/>
    <row r="11780" s="23" customFormat="1" ht="12.75"/>
    <row r="11781" s="23" customFormat="1" ht="12.75"/>
    <row r="11782" s="23" customFormat="1" ht="12.75"/>
    <row r="11783" s="23" customFormat="1" ht="12.75"/>
    <row r="11784" s="23" customFormat="1" ht="12.75"/>
    <row r="11785" s="23" customFormat="1" ht="12.75"/>
    <row r="11786" s="23" customFormat="1" ht="12.75"/>
    <row r="11787" s="23" customFormat="1" ht="12.75"/>
    <row r="11788" s="23" customFormat="1" ht="12.75"/>
    <row r="11789" s="23" customFormat="1" ht="12.75"/>
    <row r="11790" s="23" customFormat="1" ht="12.75"/>
    <row r="11791" s="23" customFormat="1" ht="12.75"/>
    <row r="11792" s="23" customFormat="1" ht="12.75"/>
    <row r="11793" s="23" customFormat="1" ht="12.75"/>
    <row r="11794" s="23" customFormat="1" ht="12.75"/>
    <row r="11795" s="23" customFormat="1" ht="12.75"/>
    <row r="11796" s="23" customFormat="1" ht="12.75"/>
    <row r="11797" s="23" customFormat="1" ht="12.75"/>
    <row r="11798" s="23" customFormat="1" ht="12.75"/>
    <row r="11799" s="23" customFormat="1" ht="12.75"/>
    <row r="11800" s="23" customFormat="1" ht="12.75"/>
    <row r="11801" s="23" customFormat="1" ht="12.75"/>
    <row r="11802" s="23" customFormat="1" ht="12.75"/>
    <row r="11803" s="23" customFormat="1" ht="12.75"/>
    <row r="11804" s="23" customFormat="1" ht="12.75"/>
    <row r="11805" s="23" customFormat="1" ht="12.75"/>
    <row r="11806" s="23" customFormat="1" ht="12.75"/>
    <row r="11807" s="23" customFormat="1" ht="12.75"/>
    <row r="11808" s="23" customFormat="1" ht="12.75"/>
    <row r="11809" s="23" customFormat="1" ht="12.75"/>
    <row r="11810" s="23" customFormat="1" ht="12.75"/>
    <row r="11811" s="23" customFormat="1" ht="12.75"/>
    <row r="11812" s="23" customFormat="1" ht="12.75"/>
    <row r="11813" s="23" customFormat="1" ht="12.75"/>
    <row r="11814" s="23" customFormat="1" ht="12.75"/>
    <row r="11815" s="23" customFormat="1" ht="12.75"/>
    <row r="11816" s="23" customFormat="1" ht="12.75"/>
    <row r="11817" s="23" customFormat="1" ht="12.75"/>
    <row r="11818" s="23" customFormat="1" ht="12.75"/>
    <row r="11819" s="23" customFormat="1" ht="12.75"/>
    <row r="11820" s="23" customFormat="1" ht="12.75"/>
    <row r="11821" s="23" customFormat="1" ht="12.75"/>
    <row r="11822" s="23" customFormat="1" ht="12.75"/>
    <row r="11823" s="23" customFormat="1" ht="12.75"/>
    <row r="11824" s="23" customFormat="1" ht="12.75"/>
    <row r="11825" s="23" customFormat="1" ht="12.75"/>
    <row r="11826" s="23" customFormat="1" ht="12.75"/>
    <row r="11827" s="23" customFormat="1" ht="12.75"/>
    <row r="11828" s="23" customFormat="1" ht="12.75"/>
    <row r="11829" s="23" customFormat="1" ht="12.75"/>
    <row r="11830" s="23" customFormat="1" ht="12.75"/>
    <row r="11831" s="23" customFormat="1" ht="12.75"/>
    <row r="11832" s="23" customFormat="1" ht="12.75"/>
    <row r="11833" s="23" customFormat="1" ht="12.75"/>
    <row r="11834" s="23" customFormat="1" ht="12.75"/>
    <row r="11835" s="23" customFormat="1" ht="12.75"/>
    <row r="11836" s="23" customFormat="1" ht="12.75"/>
    <row r="11837" s="23" customFormat="1" ht="12.75"/>
    <row r="11838" s="23" customFormat="1" ht="12.75"/>
    <row r="11839" s="23" customFormat="1" ht="12.75"/>
    <row r="11840" s="23" customFormat="1" ht="12.75"/>
    <row r="11841" s="23" customFormat="1" ht="12.75"/>
    <row r="11842" s="23" customFormat="1" ht="12.75"/>
    <row r="11843" s="23" customFormat="1" ht="12.75"/>
    <row r="11844" s="23" customFormat="1" ht="12.75"/>
    <row r="11845" s="23" customFormat="1" ht="12.75"/>
    <row r="11846" s="23" customFormat="1" ht="12.75"/>
    <row r="11847" s="23" customFormat="1" ht="12.75"/>
    <row r="11848" s="23" customFormat="1" ht="12.75"/>
    <row r="11849" s="23" customFormat="1" ht="12.75"/>
    <row r="11850" s="23" customFormat="1" ht="12.75"/>
    <row r="11851" s="23" customFormat="1" ht="12.75"/>
    <row r="11852" s="23" customFormat="1" ht="12.75"/>
    <row r="11853" s="23" customFormat="1" ht="12.75"/>
    <row r="11854" s="23" customFormat="1" ht="12.75"/>
    <row r="11855" s="23" customFormat="1" ht="12.75"/>
    <row r="11856" s="23" customFormat="1" ht="12.75"/>
    <row r="11857" s="23" customFormat="1" ht="12.75"/>
    <row r="11858" s="23" customFormat="1" ht="12.75"/>
    <row r="11859" s="23" customFormat="1" ht="12.75"/>
    <row r="11860" s="23" customFormat="1" ht="12.75"/>
    <row r="11861" s="23" customFormat="1" ht="12.75"/>
    <row r="11862" s="23" customFormat="1" ht="12.75"/>
    <row r="11863" s="23" customFormat="1" ht="12.75"/>
    <row r="11864" s="23" customFormat="1" ht="12.75"/>
    <row r="11865" s="23" customFormat="1" ht="12.75"/>
    <row r="11866" s="23" customFormat="1" ht="12.75"/>
    <row r="11867" s="23" customFormat="1" ht="12.75"/>
    <row r="11868" s="23" customFormat="1" ht="12.75"/>
    <row r="11869" s="23" customFormat="1" ht="12.75"/>
    <row r="11870" s="23" customFormat="1" ht="12.75"/>
    <row r="11871" s="23" customFormat="1" ht="12.75"/>
    <row r="11872" s="23" customFormat="1" ht="12.75"/>
    <row r="11873" s="23" customFormat="1" ht="12.75"/>
    <row r="11874" s="23" customFormat="1" ht="12.75"/>
    <row r="11875" s="23" customFormat="1" ht="12.75"/>
    <row r="11876" s="23" customFormat="1" ht="12.75"/>
    <row r="11877" s="23" customFormat="1" ht="12.75"/>
    <row r="11878" s="23" customFormat="1" ht="12.75"/>
    <row r="11879" s="23" customFormat="1" ht="12.75"/>
    <row r="11880" s="23" customFormat="1" ht="12.75"/>
    <row r="11881" s="23" customFormat="1" ht="12.75"/>
    <row r="11882" s="23" customFormat="1" ht="12.75"/>
    <row r="11883" s="23" customFormat="1" ht="12.75"/>
    <row r="11884" s="23" customFormat="1" ht="12.75"/>
    <row r="11885" s="23" customFormat="1" ht="12.75"/>
    <row r="11886" s="23" customFormat="1" ht="12.75"/>
    <row r="11887" s="23" customFormat="1" ht="12.75"/>
    <row r="11888" s="23" customFormat="1" ht="12.75"/>
    <row r="11889" s="23" customFormat="1" ht="12.75"/>
    <row r="11890" s="23" customFormat="1" ht="12.75"/>
    <row r="11891" s="23" customFormat="1" ht="12.75"/>
    <row r="11892" s="23" customFormat="1" ht="12.75"/>
    <row r="11893" s="23" customFormat="1" ht="12.75"/>
    <row r="11894" s="23" customFormat="1" ht="12.75"/>
    <row r="11895" s="23" customFormat="1" ht="12.75"/>
    <row r="11896" s="23" customFormat="1" ht="12.75"/>
    <row r="11897" s="23" customFormat="1" ht="12.75"/>
    <row r="11898" s="23" customFormat="1" ht="12.75"/>
    <row r="11899" s="23" customFormat="1" ht="12.75"/>
    <row r="11900" s="23" customFormat="1" ht="12.75"/>
    <row r="11901" s="23" customFormat="1" ht="12.75"/>
    <row r="11902" s="23" customFormat="1" ht="12.75"/>
    <row r="11903" s="23" customFormat="1" ht="12.75"/>
    <row r="11904" s="23" customFormat="1" ht="12.75"/>
    <row r="11905" s="23" customFormat="1" ht="12.75"/>
    <row r="11906" s="23" customFormat="1" ht="12.75"/>
    <row r="11907" s="23" customFormat="1" ht="12.75"/>
    <row r="11908" s="23" customFormat="1" ht="12.75"/>
    <row r="11909" s="23" customFormat="1" ht="12.75"/>
    <row r="11910" s="23" customFormat="1" ht="12.75"/>
    <row r="11911" s="23" customFormat="1" ht="12.75"/>
    <row r="11912" s="23" customFormat="1" ht="12.75"/>
    <row r="11913" s="23" customFormat="1" ht="12.75"/>
    <row r="11914" s="23" customFormat="1" ht="12.75"/>
    <row r="11915" s="23" customFormat="1" ht="12.75"/>
    <row r="11916" s="23" customFormat="1" ht="12.75"/>
    <row r="11917" s="23" customFormat="1" ht="12.75"/>
    <row r="11918" s="23" customFormat="1" ht="12.75"/>
    <row r="11919" s="23" customFormat="1" ht="12.75"/>
    <row r="11920" s="23" customFormat="1" ht="12.75"/>
    <row r="11921" s="23" customFormat="1" ht="12.75"/>
    <row r="11922" s="23" customFormat="1" ht="12.75"/>
    <row r="11923" s="23" customFormat="1" ht="12.75"/>
    <row r="11924" s="23" customFormat="1" ht="12.75"/>
    <row r="11925" s="23" customFormat="1" ht="12.75"/>
    <row r="11926" s="23" customFormat="1" ht="12.75"/>
    <row r="11927" s="23" customFormat="1" ht="12.75"/>
    <row r="11928" s="23" customFormat="1" ht="12.75"/>
    <row r="11929" s="23" customFormat="1" ht="12.75"/>
    <row r="11930" s="23" customFormat="1" ht="12.75"/>
    <row r="11931" s="23" customFormat="1" ht="12.75"/>
    <row r="11932" s="23" customFormat="1" ht="12.75"/>
    <row r="11933" s="23" customFormat="1" ht="12.75"/>
    <row r="11934" s="23" customFormat="1" ht="12.75"/>
    <row r="11935" s="23" customFormat="1" ht="12.75"/>
    <row r="11936" s="23" customFormat="1" ht="12.75"/>
    <row r="11937" s="23" customFormat="1" ht="12.75"/>
    <row r="11938" s="23" customFormat="1" ht="12.75"/>
    <row r="11939" s="23" customFormat="1" ht="12.75"/>
    <row r="11940" s="23" customFormat="1" ht="12.75"/>
    <row r="11941" s="23" customFormat="1" ht="12.75"/>
    <row r="11942" s="23" customFormat="1" ht="12.75"/>
    <row r="11943" s="23" customFormat="1" ht="12.75"/>
    <row r="11944" s="23" customFormat="1" ht="12.75"/>
    <row r="11945" s="23" customFormat="1" ht="12.75"/>
    <row r="11946" s="23" customFormat="1" ht="12.75"/>
    <row r="11947" s="23" customFormat="1" ht="12.75"/>
    <row r="11948" s="23" customFormat="1" ht="12.75"/>
    <row r="11949" s="23" customFormat="1" ht="12.75"/>
    <row r="11950" s="23" customFormat="1" ht="12.75"/>
    <row r="11951" s="23" customFormat="1" ht="12.75"/>
    <row r="11952" s="23" customFormat="1" ht="12.75"/>
    <row r="11953" s="23" customFormat="1" ht="12.75"/>
    <row r="11954" s="23" customFormat="1" ht="12.75"/>
    <row r="11955" s="23" customFormat="1" ht="12.75"/>
    <row r="11956" s="23" customFormat="1" ht="12.75"/>
    <row r="11957" s="23" customFormat="1" ht="12.75"/>
    <row r="11958" s="23" customFormat="1" ht="12.75"/>
    <row r="11959" s="23" customFormat="1" ht="12.75"/>
    <row r="11960" s="23" customFormat="1" ht="12.75"/>
    <row r="11961" s="23" customFormat="1" ht="12.75"/>
    <row r="11962" s="23" customFormat="1" ht="12.75"/>
    <row r="11963" s="23" customFormat="1" ht="12.75"/>
    <row r="11964" s="23" customFormat="1" ht="12.75"/>
    <row r="11965" s="23" customFormat="1" ht="12.75"/>
    <row r="11966" s="23" customFormat="1" ht="12.75"/>
    <row r="11967" s="23" customFormat="1" ht="12.75"/>
    <row r="11968" s="23" customFormat="1" ht="12.75"/>
    <row r="11969" s="23" customFormat="1" ht="12.75"/>
    <row r="11970" s="23" customFormat="1" ht="12.75"/>
    <row r="11971" s="23" customFormat="1" ht="12.75"/>
    <row r="11972" s="23" customFormat="1" ht="12.75"/>
    <row r="11973" s="23" customFormat="1" ht="12.75"/>
    <row r="11974" s="23" customFormat="1" ht="12.75"/>
    <row r="11975" s="23" customFormat="1" ht="12.75"/>
    <row r="11976" s="23" customFormat="1" ht="12.75"/>
    <row r="11977" s="23" customFormat="1" ht="12.75"/>
    <row r="11978" s="23" customFormat="1" ht="12.75"/>
    <row r="11979" s="23" customFormat="1" ht="12.75"/>
    <row r="11980" s="23" customFormat="1" ht="12.75"/>
    <row r="11981" s="23" customFormat="1" ht="12.75"/>
    <row r="11982" s="23" customFormat="1" ht="12.75"/>
    <row r="11983" s="23" customFormat="1" ht="12.75"/>
    <row r="11984" s="23" customFormat="1" ht="12.75"/>
    <row r="11985" s="23" customFormat="1" ht="12.75"/>
    <row r="11986" s="23" customFormat="1" ht="12.75"/>
    <row r="11987" s="23" customFormat="1" ht="12.75"/>
    <row r="11988" s="23" customFormat="1" ht="12.75"/>
    <row r="11989" s="23" customFormat="1" ht="12.75"/>
    <row r="11990" s="23" customFormat="1" ht="12.75"/>
    <row r="11991" s="23" customFormat="1" ht="12.75"/>
    <row r="11992" s="23" customFormat="1" ht="12.75"/>
    <row r="11993" s="23" customFormat="1" ht="12.75"/>
    <row r="11994" s="23" customFormat="1" ht="12.75"/>
    <row r="11995" s="23" customFormat="1" ht="12.75"/>
    <row r="11996" s="23" customFormat="1" ht="12.75"/>
    <row r="11997" s="23" customFormat="1" ht="12.75"/>
    <row r="11998" s="23" customFormat="1" ht="12.75"/>
    <row r="11999" s="23" customFormat="1" ht="12.75"/>
    <row r="12000" s="23" customFormat="1" ht="12.75"/>
    <row r="12001" s="23" customFormat="1" ht="12.75"/>
    <row r="12002" s="23" customFormat="1" ht="12.75"/>
    <row r="12003" s="23" customFormat="1" ht="12.75"/>
    <row r="12004" s="23" customFormat="1" ht="12.75"/>
    <row r="12005" s="23" customFormat="1" ht="12.75"/>
    <row r="12006" s="23" customFormat="1" ht="12.75"/>
    <row r="12007" s="23" customFormat="1" ht="12.75"/>
    <row r="12008" s="23" customFormat="1" ht="12.75"/>
    <row r="12009" s="23" customFormat="1" ht="12.75"/>
    <row r="12010" s="23" customFormat="1" ht="12.75"/>
    <row r="12011" s="23" customFormat="1" ht="12.75"/>
    <row r="12012" s="23" customFormat="1" ht="12.75"/>
    <row r="12013" s="23" customFormat="1" ht="12.75"/>
    <row r="12014" s="23" customFormat="1" ht="12.75"/>
    <row r="12015" s="23" customFormat="1" ht="12.75"/>
    <row r="12016" s="23" customFormat="1" ht="12.75"/>
    <row r="12017" s="23" customFormat="1" ht="12.75"/>
    <row r="12018" s="23" customFormat="1" ht="12.75"/>
    <row r="12019" s="23" customFormat="1" ht="12.75"/>
    <row r="12020" s="23" customFormat="1" ht="12.75"/>
    <row r="12021" s="23" customFormat="1" ht="12.75"/>
    <row r="12022" s="23" customFormat="1" ht="12.75"/>
    <row r="12023" s="23" customFormat="1" ht="12.75"/>
    <row r="12024" s="23" customFormat="1" ht="12.75"/>
    <row r="12025" s="23" customFormat="1" ht="12.75"/>
    <row r="12026" s="23" customFormat="1" ht="12.75"/>
    <row r="12027" s="23" customFormat="1" ht="12.75"/>
    <row r="12028" s="23" customFormat="1" ht="12.75"/>
    <row r="12029" s="23" customFormat="1" ht="12.75"/>
    <row r="12030" s="23" customFormat="1" ht="12.75"/>
    <row r="12031" s="23" customFormat="1" ht="12.75"/>
    <row r="12032" s="23" customFormat="1" ht="12.75"/>
    <row r="12033" s="23" customFormat="1" ht="12.75"/>
    <row r="12034" s="23" customFormat="1" ht="12.75"/>
    <row r="12035" s="23" customFormat="1" ht="12.75"/>
    <row r="12036" s="23" customFormat="1" ht="12.75"/>
    <row r="12037" s="23" customFormat="1" ht="12.75"/>
    <row r="12038" s="23" customFormat="1" ht="12.75"/>
    <row r="12039" s="23" customFormat="1" ht="12.75"/>
    <row r="12040" s="23" customFormat="1" ht="12.75"/>
    <row r="12041" s="23" customFormat="1" ht="12.75"/>
    <row r="12042" s="23" customFormat="1" ht="12.75"/>
    <row r="12043" s="23" customFormat="1" ht="12.75"/>
    <row r="12044" s="23" customFormat="1" ht="12.75"/>
    <row r="12045" s="23" customFormat="1" ht="12.75"/>
    <row r="12046" s="23" customFormat="1" ht="12.75"/>
    <row r="12047" s="23" customFormat="1" ht="12.75"/>
    <row r="12048" s="23" customFormat="1" ht="12.75"/>
    <row r="12049" s="23" customFormat="1" ht="12.75"/>
    <row r="12050" s="23" customFormat="1" ht="12.75"/>
    <row r="12051" s="23" customFormat="1" ht="12.75"/>
    <row r="12052" s="23" customFormat="1" ht="12.75"/>
    <row r="12053" s="23" customFormat="1" ht="12.75"/>
    <row r="12054" s="23" customFormat="1" ht="12.75"/>
    <row r="12055" s="23" customFormat="1" ht="12.75"/>
    <row r="12056" s="23" customFormat="1" ht="12.75"/>
    <row r="12057" s="23" customFormat="1" ht="12.75"/>
    <row r="12058" s="23" customFormat="1" ht="12.75"/>
    <row r="12059" s="23" customFormat="1" ht="12.75"/>
    <row r="12060" s="23" customFormat="1" ht="12.75"/>
    <row r="12061" s="23" customFormat="1" ht="12.75"/>
    <row r="12062" s="23" customFormat="1" ht="12.75"/>
    <row r="12063" s="23" customFormat="1" ht="12.75"/>
    <row r="12064" s="23" customFormat="1" ht="12.75"/>
    <row r="12065" s="23" customFormat="1" ht="12.75"/>
    <row r="12066" s="23" customFormat="1" ht="12.75"/>
    <row r="12067" s="23" customFormat="1" ht="12.75"/>
    <row r="12068" s="23" customFormat="1" ht="12.75"/>
    <row r="12069" s="23" customFormat="1" ht="12.75"/>
    <row r="12070" s="23" customFormat="1" ht="12.75"/>
    <row r="12071" s="23" customFormat="1" ht="12.75"/>
    <row r="12072" s="23" customFormat="1" ht="12.75"/>
    <row r="12073" s="23" customFormat="1" ht="12.75"/>
    <row r="12074" s="23" customFormat="1" ht="12.75"/>
    <row r="12075" s="23" customFormat="1" ht="12.75"/>
    <row r="12076" s="23" customFormat="1" ht="12.75"/>
    <row r="12077" s="23" customFormat="1" ht="12.75"/>
    <row r="12078" s="23" customFormat="1" ht="12.75"/>
    <row r="12079" s="23" customFormat="1" ht="12.75"/>
    <row r="12080" s="23" customFormat="1" ht="12.75"/>
    <row r="12081" s="23" customFormat="1" ht="12.75"/>
    <row r="12082" s="23" customFormat="1" ht="12.75"/>
    <row r="12083" s="23" customFormat="1" ht="12.75"/>
    <row r="12084" s="23" customFormat="1" ht="12.75"/>
    <row r="12085" s="23" customFormat="1" ht="12.75"/>
    <row r="12086" s="23" customFormat="1" ht="12.75"/>
    <row r="12087" s="23" customFormat="1" ht="12.75"/>
    <row r="12088" s="23" customFormat="1" ht="12.75"/>
    <row r="12089" s="23" customFormat="1" ht="12.75"/>
    <row r="12090" s="23" customFormat="1" ht="12.75"/>
    <row r="12091" s="23" customFormat="1" ht="12.75"/>
    <row r="12092" s="23" customFormat="1" ht="12.75"/>
    <row r="12093" s="23" customFormat="1" ht="12.75"/>
    <row r="12094" s="23" customFormat="1" ht="12.75"/>
    <row r="12095" s="23" customFormat="1" ht="12.75"/>
    <row r="12096" s="23" customFormat="1" ht="12.75"/>
    <row r="12097" s="23" customFormat="1" ht="12.75"/>
    <row r="12098" s="23" customFormat="1" ht="12.75"/>
    <row r="12099" s="23" customFormat="1" ht="12.75"/>
    <row r="12100" s="23" customFormat="1" ht="12.75"/>
    <row r="12101" s="23" customFormat="1" ht="12.75"/>
    <row r="12102" s="23" customFormat="1" ht="12.75"/>
    <row r="12103" s="23" customFormat="1" ht="12.75"/>
    <row r="12104" s="23" customFormat="1" ht="12.75"/>
    <row r="12105" s="23" customFormat="1" ht="12.75"/>
    <row r="12106" s="23" customFormat="1" ht="12.75"/>
    <row r="12107" s="23" customFormat="1" ht="12.75"/>
    <row r="12108" s="23" customFormat="1" ht="12.75"/>
    <row r="12109" s="23" customFormat="1" ht="12.75"/>
    <row r="12110" s="23" customFormat="1" ht="12.75"/>
    <row r="12111" s="23" customFormat="1" ht="12.75"/>
    <row r="12112" s="23" customFormat="1" ht="12.75"/>
    <row r="12113" s="23" customFormat="1" ht="12.75"/>
    <row r="12114" s="23" customFormat="1" ht="12.75"/>
    <row r="12115" s="23" customFormat="1" ht="12.75"/>
    <row r="12116" s="23" customFormat="1" ht="12.75"/>
    <row r="12117" s="23" customFormat="1" ht="12.75"/>
    <row r="12118" s="23" customFormat="1" ht="12.75"/>
    <row r="12119" s="23" customFormat="1" ht="12.75"/>
    <row r="12120" s="23" customFormat="1" ht="12.75"/>
    <row r="12121" s="23" customFormat="1" ht="12.75"/>
    <row r="12122" s="23" customFormat="1" ht="12.75"/>
    <row r="12123" s="23" customFormat="1" ht="12.75"/>
    <row r="12124" s="23" customFormat="1" ht="12.75"/>
    <row r="12125" s="23" customFormat="1" ht="12.75"/>
    <row r="12126" s="23" customFormat="1" ht="12.75"/>
    <row r="12127" s="23" customFormat="1" ht="12.75"/>
    <row r="12128" s="23" customFormat="1" ht="12.75"/>
    <row r="12129" s="23" customFormat="1" ht="12.75"/>
    <row r="12130" s="23" customFormat="1" ht="12.75"/>
    <row r="12131" s="23" customFormat="1" ht="12.75"/>
    <row r="12132" s="23" customFormat="1" ht="12.75"/>
    <row r="12133" s="23" customFormat="1" ht="12.75"/>
    <row r="12134" s="23" customFormat="1" ht="12.75"/>
    <row r="12135" s="23" customFormat="1" ht="12.75"/>
    <row r="12136" s="23" customFormat="1" ht="12.75"/>
    <row r="12137" s="23" customFormat="1" ht="12.75"/>
    <row r="12138" s="23" customFormat="1" ht="12.75"/>
    <row r="12139" s="23" customFormat="1" ht="12.75"/>
    <row r="12140" s="23" customFormat="1" ht="12.75"/>
    <row r="12141" s="23" customFormat="1" ht="12.75"/>
    <row r="12142" s="23" customFormat="1" ht="12.75"/>
    <row r="12143" s="23" customFormat="1" ht="12.75"/>
    <row r="12144" s="23" customFormat="1" ht="12.75"/>
    <row r="12145" s="23" customFormat="1" ht="12.75"/>
    <row r="12146" s="23" customFormat="1" ht="12.75"/>
    <row r="12147" s="23" customFormat="1" ht="12.75"/>
    <row r="12148" s="23" customFormat="1" ht="12.75"/>
    <row r="12149" s="23" customFormat="1" ht="12.75"/>
    <row r="12150" s="23" customFormat="1" ht="12.75"/>
    <row r="12151" s="23" customFormat="1" ht="12.75"/>
    <row r="12152" s="23" customFormat="1" ht="12.75"/>
    <row r="12153" s="23" customFormat="1" ht="12.75"/>
    <row r="12154" s="23" customFormat="1" ht="12.75"/>
    <row r="12155" s="23" customFormat="1" ht="12.75"/>
    <row r="12156" s="23" customFormat="1" ht="12.75"/>
    <row r="12157" s="23" customFormat="1" ht="12.75"/>
    <row r="12158" s="23" customFormat="1" ht="12.75"/>
    <row r="12159" s="23" customFormat="1" ht="12.75"/>
    <row r="12160" s="23" customFormat="1" ht="12.75"/>
    <row r="12161" s="23" customFormat="1" ht="12.75"/>
    <row r="12162" s="23" customFormat="1" ht="12.75"/>
    <row r="12163" s="23" customFormat="1" ht="12.75"/>
    <row r="12164" s="23" customFormat="1" ht="12.75"/>
    <row r="12165" s="23" customFormat="1" ht="12.75"/>
    <row r="12166" s="23" customFormat="1" ht="12.75"/>
    <row r="12167" s="23" customFormat="1" ht="12.75"/>
    <row r="12168" s="23" customFormat="1" ht="12.75"/>
    <row r="12169" s="23" customFormat="1" ht="12.75"/>
    <row r="12170" s="23" customFormat="1" ht="12.75"/>
    <row r="12171" s="23" customFormat="1" ht="12.75"/>
    <row r="12172" s="23" customFormat="1" ht="12.75"/>
    <row r="12173" s="23" customFormat="1" ht="12.75"/>
    <row r="12174" s="23" customFormat="1" ht="12.75"/>
    <row r="12175" s="23" customFormat="1" ht="12.75"/>
    <row r="12176" s="23" customFormat="1" ht="12.75"/>
    <row r="12177" s="23" customFormat="1" ht="12.75"/>
    <row r="12178" s="23" customFormat="1" ht="12.75"/>
    <row r="12179" s="23" customFormat="1" ht="12.75"/>
    <row r="12180" s="23" customFormat="1" ht="12.75"/>
    <row r="12181" s="23" customFormat="1" ht="12.75"/>
    <row r="12182" s="23" customFormat="1" ht="12.75"/>
    <row r="12183" s="23" customFormat="1" ht="12.75"/>
    <row r="12184" s="23" customFormat="1" ht="12.75"/>
    <row r="12185" s="23" customFormat="1" ht="12.75"/>
    <row r="12186" s="23" customFormat="1" ht="12.75"/>
    <row r="12187" s="23" customFormat="1" ht="12.75"/>
    <row r="12188" s="23" customFormat="1" ht="12.75"/>
    <row r="12189" s="23" customFormat="1" ht="12.75"/>
    <row r="12190" s="23" customFormat="1" ht="12.75"/>
    <row r="12191" s="23" customFormat="1" ht="12.75"/>
    <row r="12192" s="23" customFormat="1" ht="12.75"/>
    <row r="12193" s="23" customFormat="1" ht="12.75"/>
    <row r="12194" s="23" customFormat="1" ht="12.75"/>
    <row r="12195" s="23" customFormat="1" ht="12.75"/>
    <row r="12196" s="23" customFormat="1" ht="12.75"/>
    <row r="12197" s="23" customFormat="1" ht="12.75"/>
    <row r="12198" s="23" customFormat="1" ht="12.75"/>
    <row r="12199" s="23" customFormat="1" ht="12.75"/>
    <row r="12200" s="23" customFormat="1" ht="12.75"/>
    <row r="12201" s="23" customFormat="1" ht="12.75"/>
    <row r="12202" s="23" customFormat="1" ht="12.75"/>
    <row r="12203" s="23" customFormat="1" ht="12.75"/>
    <row r="12204" s="23" customFormat="1" ht="12.75"/>
    <row r="12205" s="23" customFormat="1" ht="12.75"/>
    <row r="12206" s="23" customFormat="1" ht="12.75"/>
    <row r="12207" s="23" customFormat="1" ht="12.75"/>
    <row r="12208" s="23" customFormat="1" ht="12.75"/>
    <row r="12209" s="23" customFormat="1" ht="12.75"/>
    <row r="12210" s="23" customFormat="1" ht="12.75"/>
    <row r="12211" s="23" customFormat="1" ht="12.75"/>
    <row r="12212" s="23" customFormat="1" ht="12.75"/>
    <row r="12213" s="23" customFormat="1" ht="12.75"/>
    <row r="12214" s="23" customFormat="1" ht="12.75"/>
    <row r="12215" s="23" customFormat="1" ht="12.75"/>
    <row r="12216" s="23" customFormat="1" ht="12.75"/>
    <row r="12217" s="23" customFormat="1" ht="12.75"/>
    <row r="12218" s="23" customFormat="1" ht="12.75"/>
    <row r="12219" s="23" customFormat="1" ht="12.75"/>
    <row r="12220" s="23" customFormat="1" ht="12.75"/>
    <row r="12221" s="23" customFormat="1" ht="12.75"/>
    <row r="12222" s="23" customFormat="1" ht="12.75"/>
    <row r="12223" s="23" customFormat="1" ht="12.75"/>
    <row r="12224" s="23" customFormat="1" ht="12.75"/>
    <row r="12225" s="23" customFormat="1" ht="12.75"/>
    <row r="12226" s="23" customFormat="1" ht="12.75"/>
    <row r="12227" s="23" customFormat="1" ht="12.75"/>
    <row r="12228" s="23" customFormat="1" ht="12.75"/>
    <row r="12229" s="23" customFormat="1" ht="12.75"/>
    <row r="12230" s="23" customFormat="1" ht="12.75"/>
    <row r="12231" s="23" customFormat="1" ht="12.75"/>
    <row r="12232" s="23" customFormat="1" ht="12.75"/>
    <row r="12233" s="23" customFormat="1" ht="12.75"/>
    <row r="12234" s="23" customFormat="1" ht="12.75"/>
    <row r="12235" s="23" customFormat="1" ht="12.75"/>
    <row r="12236" s="23" customFormat="1" ht="12.75"/>
    <row r="12237" s="23" customFormat="1" ht="12.75"/>
    <row r="12238" s="23" customFormat="1" ht="12.75"/>
    <row r="12239" s="23" customFormat="1" ht="12.75"/>
    <row r="12240" s="23" customFormat="1" ht="12.75"/>
    <row r="12241" s="23" customFormat="1" ht="12.75"/>
    <row r="12242" s="23" customFormat="1" ht="12.75"/>
    <row r="12243" s="23" customFormat="1" ht="12.75"/>
    <row r="12244" s="23" customFormat="1" ht="12.75"/>
    <row r="12245" s="23" customFormat="1" ht="12.75"/>
    <row r="12246" s="23" customFormat="1" ht="12.75"/>
    <row r="12247" s="23" customFormat="1" ht="12.75"/>
    <row r="12248" s="23" customFormat="1" ht="12.75"/>
    <row r="12249" s="23" customFormat="1" ht="12.75"/>
    <row r="12250" s="23" customFormat="1" ht="12.75"/>
    <row r="12251" s="23" customFormat="1" ht="12.75"/>
    <row r="12252" s="23" customFormat="1" ht="12.75"/>
    <row r="12253" s="23" customFormat="1" ht="12.75"/>
    <row r="12254" s="23" customFormat="1" ht="12.75"/>
    <row r="12255" s="23" customFormat="1" ht="12.75"/>
    <row r="12256" s="23" customFormat="1" ht="12.75"/>
    <row r="12257" s="23" customFormat="1" ht="12.75"/>
    <row r="12258" s="23" customFormat="1" ht="12.75"/>
    <row r="12259" s="23" customFormat="1" ht="12.75"/>
    <row r="12260" s="23" customFormat="1" ht="12.75"/>
    <row r="12261" s="23" customFormat="1" ht="12.75"/>
    <row r="12262" s="23" customFormat="1" ht="12.75"/>
    <row r="12263" s="23" customFormat="1" ht="12.75"/>
    <row r="12264" s="23" customFormat="1" ht="12.75"/>
    <row r="12265" s="23" customFormat="1" ht="12.75"/>
    <row r="12266" s="23" customFormat="1" ht="12.75"/>
    <row r="12267" s="23" customFormat="1" ht="12.75"/>
    <row r="12268" s="23" customFormat="1" ht="12.75"/>
    <row r="12269" s="23" customFormat="1" ht="12.75"/>
    <row r="12270" s="23" customFormat="1" ht="12.75"/>
    <row r="12271" s="23" customFormat="1" ht="12.75"/>
    <row r="12272" s="23" customFormat="1" ht="12.75"/>
    <row r="12273" s="23" customFormat="1" ht="12.75"/>
    <row r="12274" s="23" customFormat="1" ht="12.75"/>
    <row r="12275" s="23" customFormat="1" ht="12.75"/>
    <row r="12276" s="23" customFormat="1" ht="12.75"/>
    <row r="12277" s="23" customFormat="1" ht="12.75"/>
    <row r="12278" s="23" customFormat="1" ht="12.75"/>
    <row r="12279" s="23" customFormat="1" ht="12.75"/>
    <row r="12280" s="23" customFormat="1" ht="12.75"/>
    <row r="12281" s="23" customFormat="1" ht="12.75"/>
    <row r="12282" s="23" customFormat="1" ht="12.75"/>
    <row r="12283" s="23" customFormat="1" ht="12.75"/>
    <row r="12284" s="23" customFormat="1" ht="12.75"/>
    <row r="12285" s="23" customFormat="1" ht="12.75"/>
    <row r="12286" s="23" customFormat="1" ht="12.75"/>
    <row r="12287" s="23" customFormat="1" ht="12.75"/>
    <row r="12288" s="23" customFormat="1" ht="12.75"/>
    <row r="12289" s="23" customFormat="1" ht="12.75"/>
    <row r="12290" s="23" customFormat="1" ht="12.75"/>
    <row r="12291" s="23" customFormat="1" ht="12.75"/>
    <row r="12292" s="23" customFormat="1" ht="12.75"/>
    <row r="12293" s="23" customFormat="1" ht="12.75"/>
    <row r="12294" s="23" customFormat="1" ht="12.75"/>
    <row r="12295" s="23" customFormat="1" ht="12.75"/>
    <row r="12296" s="23" customFormat="1" ht="12.75"/>
    <row r="12297" s="23" customFormat="1" ht="12.75"/>
    <row r="12298" s="23" customFormat="1" ht="12.75"/>
    <row r="12299" s="23" customFormat="1" ht="12.75"/>
    <row r="12300" s="23" customFormat="1" ht="12.75"/>
    <row r="12301" s="23" customFormat="1" ht="12.75"/>
    <row r="12302" s="23" customFormat="1" ht="12.75"/>
    <row r="12303" s="23" customFormat="1" ht="12.75"/>
    <row r="12304" s="23" customFormat="1" ht="12.75"/>
    <row r="12305" s="23" customFormat="1" ht="12.75"/>
    <row r="12306" s="23" customFormat="1" ht="12.75"/>
    <row r="12307" s="23" customFormat="1" ht="12.75"/>
    <row r="12308" s="23" customFormat="1" ht="12.75"/>
    <row r="12309" s="23" customFormat="1" ht="12.75"/>
    <row r="12310" s="23" customFormat="1" ht="12.75"/>
    <row r="12311" s="23" customFormat="1" ht="12.75"/>
    <row r="12312" s="23" customFormat="1" ht="12.75"/>
    <row r="12313" s="23" customFormat="1" ht="12.75"/>
    <row r="12314" s="23" customFormat="1" ht="12.75"/>
    <row r="12315" s="23" customFormat="1" ht="12.75"/>
    <row r="12316" s="23" customFormat="1" ht="12.75"/>
    <row r="12317" s="23" customFormat="1" ht="12.75"/>
    <row r="12318" s="23" customFormat="1" ht="12.75"/>
    <row r="12319" s="23" customFormat="1" ht="12.75"/>
    <row r="12320" s="23" customFormat="1" ht="12.75"/>
    <row r="12321" s="23" customFormat="1" ht="12.75"/>
    <row r="12322" s="23" customFormat="1" ht="12.75"/>
    <row r="12323" s="23" customFormat="1" ht="12.75"/>
    <row r="12324" s="23" customFormat="1" ht="12.75"/>
    <row r="12325" s="23" customFormat="1" ht="12.75"/>
    <row r="12326" s="23" customFormat="1" ht="12.75"/>
    <row r="12327" s="23" customFormat="1" ht="12.75"/>
    <row r="12328" s="23" customFormat="1" ht="12.75"/>
    <row r="12329" s="23" customFormat="1" ht="12.75"/>
    <row r="12330" s="23" customFormat="1" ht="12.75"/>
    <row r="12331" s="23" customFormat="1" ht="12.75"/>
    <row r="12332" s="23" customFormat="1" ht="12.75"/>
    <row r="12333" s="23" customFormat="1" ht="12.75"/>
    <row r="12334" s="23" customFormat="1" ht="12.75"/>
    <row r="12335" s="23" customFormat="1" ht="12.75"/>
    <row r="12336" s="23" customFormat="1" ht="12.75"/>
    <row r="12337" s="23" customFormat="1" ht="12.75"/>
    <row r="12338" s="23" customFormat="1" ht="12.75"/>
    <row r="12339" s="23" customFormat="1" ht="12.75"/>
    <row r="12340" s="23" customFormat="1" ht="12.75"/>
    <row r="12341" s="23" customFormat="1" ht="12.75"/>
    <row r="12342" s="23" customFormat="1" ht="12.75"/>
    <row r="12343" s="23" customFormat="1" ht="12.75"/>
    <row r="12344" s="23" customFormat="1" ht="12.75"/>
    <row r="12345" s="23" customFormat="1" ht="12.75"/>
    <row r="12346" s="23" customFormat="1" ht="12.75"/>
    <row r="12347" s="23" customFormat="1" ht="12.75"/>
    <row r="12348" s="23" customFormat="1" ht="12.75"/>
    <row r="12349" s="23" customFormat="1" ht="12.75"/>
    <row r="12350" s="23" customFormat="1" ht="12.75"/>
    <row r="12351" s="23" customFormat="1" ht="12.75"/>
    <row r="12352" s="23" customFormat="1" ht="12.75"/>
    <row r="12353" s="23" customFormat="1" ht="12.75"/>
    <row r="12354" s="23" customFormat="1" ht="12.75"/>
    <row r="12355" s="23" customFormat="1" ht="12.75"/>
    <row r="12356" s="23" customFormat="1" ht="12.75"/>
    <row r="12357" s="23" customFormat="1" ht="12.75"/>
    <row r="12358" s="23" customFormat="1" ht="12.75"/>
    <row r="12359" s="23" customFormat="1" ht="12.75"/>
    <row r="12360" s="23" customFormat="1" ht="12.75"/>
    <row r="12361" s="23" customFormat="1" ht="12.75"/>
    <row r="12362" s="23" customFormat="1" ht="12.75"/>
    <row r="12363" s="23" customFormat="1" ht="12.75"/>
    <row r="12364" s="23" customFormat="1" ht="12.75"/>
    <row r="12365" s="23" customFormat="1" ht="12.75"/>
    <row r="12366" s="23" customFormat="1" ht="12.75"/>
    <row r="12367" s="23" customFormat="1" ht="12.75"/>
    <row r="12368" s="23" customFormat="1" ht="12.75"/>
    <row r="12369" s="23" customFormat="1" ht="12.75"/>
    <row r="12370" s="23" customFormat="1" ht="12.75"/>
    <row r="12371" s="23" customFormat="1" ht="12.75"/>
    <row r="12372" s="23" customFormat="1" ht="12.75"/>
    <row r="12373" s="23" customFormat="1" ht="12.75"/>
    <row r="12374" s="23" customFormat="1" ht="12.75"/>
    <row r="12375" s="23" customFormat="1" ht="12.75"/>
    <row r="12376" s="23" customFormat="1" ht="12.75"/>
    <row r="12377" s="23" customFormat="1" ht="12.75"/>
    <row r="12378" s="23" customFormat="1" ht="12.75"/>
    <row r="12379" s="23" customFormat="1" ht="12.75"/>
    <row r="12380" s="23" customFormat="1" ht="12.75"/>
    <row r="12381" s="23" customFormat="1" ht="12.75"/>
    <row r="12382" s="23" customFormat="1" ht="12.75"/>
    <row r="12383" s="23" customFormat="1" ht="12.75"/>
    <row r="12384" s="23" customFormat="1" ht="12.75"/>
    <row r="12385" s="23" customFormat="1" ht="12.75"/>
    <row r="12386" s="23" customFormat="1" ht="12.75"/>
    <row r="12387" s="23" customFormat="1" ht="12.75"/>
    <row r="12388" s="23" customFormat="1" ht="12.75"/>
    <row r="12389" s="23" customFormat="1" ht="12.75"/>
    <row r="12390" s="23" customFormat="1" ht="12.75"/>
    <row r="12391" s="23" customFormat="1" ht="12.75"/>
    <row r="12392" s="23" customFormat="1" ht="12.75"/>
    <row r="12393" s="23" customFormat="1" ht="12.75"/>
    <row r="12394" s="23" customFormat="1" ht="12.75"/>
    <row r="12395" s="23" customFormat="1" ht="12.75"/>
    <row r="12396" s="23" customFormat="1" ht="12.75"/>
    <row r="12397" s="23" customFormat="1" ht="12.75"/>
    <row r="12398" s="23" customFormat="1" ht="12.75"/>
    <row r="12399" s="23" customFormat="1" ht="12.75"/>
    <row r="12400" s="23" customFormat="1" ht="12.75"/>
    <row r="12401" s="23" customFormat="1" ht="12.75"/>
    <row r="12402" s="23" customFormat="1" ht="12.75"/>
    <row r="12403" s="23" customFormat="1" ht="12.75"/>
    <row r="12404" s="23" customFormat="1" ht="12.75"/>
    <row r="12405" s="23" customFormat="1" ht="12.75"/>
    <row r="12406" s="23" customFormat="1" ht="12.75"/>
    <row r="12407" s="23" customFormat="1" ht="12.75"/>
    <row r="12408" s="23" customFormat="1" ht="12.75"/>
    <row r="12409" s="23" customFormat="1" ht="12.75"/>
    <row r="12410" s="23" customFormat="1" ht="12.75"/>
    <row r="12411" s="23" customFormat="1" ht="12.75"/>
    <row r="12412" s="23" customFormat="1" ht="12.75"/>
    <row r="12413" s="23" customFormat="1" ht="12.75"/>
    <row r="12414" s="23" customFormat="1" ht="12.75"/>
    <row r="12415" s="23" customFormat="1" ht="12.75"/>
    <row r="12416" s="23" customFormat="1" ht="12.75"/>
    <row r="12417" s="23" customFormat="1" ht="12.75"/>
    <row r="12418" s="23" customFormat="1" ht="12.75"/>
    <row r="12419" s="23" customFormat="1" ht="12.75"/>
    <row r="12420" s="23" customFormat="1" ht="12.75"/>
    <row r="12421" s="23" customFormat="1" ht="12.75"/>
    <row r="12422" s="23" customFormat="1" ht="12.75"/>
    <row r="12423" s="23" customFormat="1" ht="12.75"/>
    <row r="12424" s="23" customFormat="1" ht="12.75"/>
    <row r="12425" s="23" customFormat="1" ht="12.75"/>
    <row r="12426" s="23" customFormat="1" ht="12.75"/>
    <row r="12427" s="23" customFormat="1" ht="12.75"/>
    <row r="12428" s="23" customFormat="1" ht="12.75"/>
    <row r="12429" s="23" customFormat="1" ht="12.75"/>
    <row r="12430" s="23" customFormat="1" ht="12.75"/>
    <row r="12431" s="23" customFormat="1" ht="12.75"/>
    <row r="12432" s="23" customFormat="1" ht="12.75"/>
    <row r="12433" s="23" customFormat="1" ht="12.75"/>
    <row r="12434" s="23" customFormat="1" ht="12.75"/>
    <row r="12435" s="23" customFormat="1" ht="12.75"/>
    <row r="12436" s="23" customFormat="1" ht="12.75"/>
    <row r="12437" s="23" customFormat="1" ht="12.75"/>
    <row r="12438" s="23" customFormat="1" ht="12.75"/>
    <row r="12439" s="23" customFormat="1" ht="12.75"/>
    <row r="12440" s="23" customFormat="1" ht="12.75"/>
    <row r="12441" s="23" customFormat="1" ht="12.75"/>
    <row r="12442" s="23" customFormat="1" ht="12.75"/>
    <row r="12443" s="23" customFormat="1" ht="12.75"/>
    <row r="12444" s="23" customFormat="1" ht="12.75"/>
    <row r="12445" s="23" customFormat="1" ht="12.75"/>
    <row r="12446" s="23" customFormat="1" ht="12.75"/>
    <row r="12447" s="23" customFormat="1" ht="12.75"/>
    <row r="12448" s="23" customFormat="1" ht="12.75"/>
    <row r="12449" s="23" customFormat="1" ht="12.75"/>
    <row r="12450" s="23" customFormat="1" ht="12.75"/>
    <row r="12451" s="23" customFormat="1" ht="12.75"/>
    <row r="12452" s="23" customFormat="1" ht="12.75"/>
    <row r="12453" s="23" customFormat="1" ht="12.75"/>
    <row r="12454" s="23" customFormat="1" ht="12.75"/>
    <row r="12455" s="23" customFormat="1" ht="12.75"/>
    <row r="12456" s="23" customFormat="1" ht="12.75"/>
    <row r="12457" s="23" customFormat="1" ht="12.75"/>
    <row r="12458" s="23" customFormat="1" ht="12.75"/>
    <row r="12459" s="23" customFormat="1" ht="12.75"/>
    <row r="12460" s="23" customFormat="1" ht="12.75"/>
    <row r="12461" s="23" customFormat="1" ht="12.75"/>
    <row r="12462" s="23" customFormat="1" ht="12.75"/>
    <row r="12463" s="23" customFormat="1" ht="12.75"/>
    <row r="12464" s="23" customFormat="1" ht="12.75"/>
    <row r="12465" s="23" customFormat="1" ht="12.75"/>
    <row r="12466" s="23" customFormat="1" ht="12.75"/>
    <row r="12467" s="23" customFormat="1" ht="12.75"/>
    <row r="12468" s="23" customFormat="1" ht="12.75"/>
    <row r="12469" s="23" customFormat="1" ht="12.75"/>
    <row r="12470" s="23" customFormat="1" ht="12.75"/>
    <row r="12471" s="23" customFormat="1" ht="12.75"/>
    <row r="12472" s="23" customFormat="1" ht="12.75"/>
    <row r="12473" s="23" customFormat="1" ht="12.75"/>
    <row r="12474" s="23" customFormat="1" ht="12.75"/>
    <row r="12475" s="23" customFormat="1" ht="12.75"/>
    <row r="12476" s="23" customFormat="1" ht="12.75"/>
    <row r="12477" s="23" customFormat="1" ht="12.75"/>
    <row r="12478" s="23" customFormat="1" ht="12.75"/>
    <row r="12479" s="23" customFormat="1" ht="12.75"/>
    <row r="12480" s="23" customFormat="1" ht="12.75"/>
    <row r="12481" s="23" customFormat="1" ht="12.75"/>
    <row r="12482" s="23" customFormat="1" ht="12.75"/>
    <row r="12483" s="23" customFormat="1" ht="12.75"/>
    <row r="12484" s="23" customFormat="1" ht="12.75"/>
    <row r="12485" s="23" customFormat="1" ht="12.75"/>
    <row r="12486" s="23" customFormat="1" ht="12.75"/>
    <row r="12487" s="23" customFormat="1" ht="12.75"/>
    <row r="12488" s="23" customFormat="1" ht="12.75"/>
    <row r="12489" s="23" customFormat="1" ht="12.75"/>
    <row r="12490" s="23" customFormat="1" ht="12.75"/>
    <row r="12491" s="23" customFormat="1" ht="12.75"/>
    <row r="12492" s="23" customFormat="1" ht="12.75"/>
    <row r="12493" s="23" customFormat="1" ht="12.75"/>
    <row r="12494" s="23" customFormat="1" ht="12.75"/>
    <row r="12495" s="23" customFormat="1" ht="12.75"/>
    <row r="12496" s="23" customFormat="1" ht="12.75"/>
    <row r="12497" s="23" customFormat="1" ht="12.75"/>
    <row r="12498" s="23" customFormat="1" ht="12.75"/>
    <row r="12499" s="23" customFormat="1" ht="12.75"/>
    <row r="12500" s="23" customFormat="1" ht="12.75"/>
    <row r="12501" s="23" customFormat="1" ht="12.75"/>
    <row r="12502" s="23" customFormat="1" ht="12.75"/>
    <row r="12503" s="23" customFormat="1" ht="12.75"/>
    <row r="12504" s="23" customFormat="1" ht="12.75"/>
    <row r="12505" s="23" customFormat="1" ht="12.75"/>
    <row r="12506" s="23" customFormat="1" ht="12.75"/>
    <row r="12507" s="23" customFormat="1" ht="12.75"/>
    <row r="12508" s="23" customFormat="1" ht="12.75"/>
    <row r="12509" s="23" customFormat="1" ht="12.75"/>
    <row r="12510" s="23" customFormat="1" ht="12.75"/>
    <row r="12511" s="23" customFormat="1" ht="12.75"/>
    <row r="12512" s="23" customFormat="1" ht="12.75"/>
    <row r="12513" s="23" customFormat="1" ht="12.75"/>
    <row r="12514" s="23" customFormat="1" ht="12.75"/>
    <row r="12515" s="23" customFormat="1" ht="12.75"/>
    <row r="12516" s="23" customFormat="1" ht="12.75"/>
    <row r="12517" s="23" customFormat="1" ht="12.75"/>
    <row r="12518" s="23" customFormat="1" ht="12.75"/>
    <row r="12519" s="23" customFormat="1" ht="12.75"/>
    <row r="12520" s="23" customFormat="1" ht="12.75"/>
    <row r="12521" s="23" customFormat="1" ht="12.75"/>
    <row r="12522" s="23" customFormat="1" ht="12.75"/>
    <row r="12523" s="23" customFormat="1" ht="12.75"/>
    <row r="12524" s="23" customFormat="1" ht="12.75"/>
    <row r="12525" s="23" customFormat="1" ht="12.75"/>
    <row r="12526" s="23" customFormat="1" ht="12.75"/>
    <row r="12527" s="23" customFormat="1" ht="12.75"/>
    <row r="12528" s="23" customFormat="1" ht="12.75"/>
    <row r="12529" s="23" customFormat="1" ht="12.75"/>
    <row r="12530" s="23" customFormat="1" ht="12.75"/>
    <row r="12531" s="23" customFormat="1" ht="12.75"/>
    <row r="12532" s="23" customFormat="1" ht="12.75"/>
    <row r="12533" s="23" customFormat="1" ht="12.75"/>
    <row r="12534" s="23" customFormat="1" ht="12.75"/>
    <row r="12535" s="23" customFormat="1" ht="12.75"/>
    <row r="12536" s="23" customFormat="1" ht="12.75"/>
    <row r="12537" s="23" customFormat="1" ht="12.75"/>
    <row r="12538" s="23" customFormat="1" ht="12.75"/>
    <row r="12539" s="23" customFormat="1" ht="12.75"/>
    <row r="12540" s="23" customFormat="1" ht="12.75"/>
    <row r="12541" s="23" customFormat="1" ht="12.75"/>
    <row r="12542" s="23" customFormat="1" ht="12.75"/>
    <row r="12543" s="23" customFormat="1" ht="12.75"/>
    <row r="12544" s="23" customFormat="1" ht="12.75"/>
    <row r="12545" s="23" customFormat="1" ht="12.75"/>
    <row r="12546" s="23" customFormat="1" ht="12.75"/>
    <row r="12547" s="23" customFormat="1" ht="12.75"/>
    <row r="12548" s="23" customFormat="1" ht="12.75"/>
    <row r="12549" s="23" customFormat="1" ht="12.75"/>
    <row r="12550" s="23" customFormat="1" ht="12.75"/>
    <row r="12551" s="23" customFormat="1" ht="12.75"/>
    <row r="12552" s="23" customFormat="1" ht="12.75"/>
    <row r="12553" s="23" customFormat="1" ht="12.75"/>
    <row r="12554" s="23" customFormat="1" ht="12.75"/>
    <row r="12555" s="23" customFormat="1" ht="12.75"/>
    <row r="12556" s="23" customFormat="1" ht="12.75"/>
    <row r="12557" s="23" customFormat="1" ht="12.75"/>
    <row r="12558" s="23" customFormat="1" ht="12.75"/>
    <row r="12559" s="23" customFormat="1" ht="12.75"/>
    <row r="12560" s="23" customFormat="1" ht="12.75"/>
    <row r="12561" s="23" customFormat="1" ht="12.75"/>
    <row r="12562" s="23" customFormat="1" ht="12.75"/>
    <row r="12563" s="23" customFormat="1" ht="12.75"/>
    <row r="12564" s="23" customFormat="1" ht="12.75"/>
    <row r="12565" s="23" customFormat="1" ht="12.75"/>
    <row r="12566" s="23" customFormat="1" ht="12.75"/>
    <row r="12567" s="23" customFormat="1" ht="12.75"/>
    <row r="12568" s="23" customFormat="1" ht="12.75"/>
    <row r="12569" s="23" customFormat="1" ht="12.75"/>
    <row r="12570" s="23" customFormat="1" ht="12.75"/>
    <row r="12571" s="23" customFormat="1" ht="12.75"/>
    <row r="12572" s="23" customFormat="1" ht="12.75"/>
    <row r="12573" s="23" customFormat="1" ht="12.75"/>
    <row r="12574" s="23" customFormat="1" ht="12.75"/>
    <row r="12575" s="23" customFormat="1" ht="12.75"/>
    <row r="12576" s="23" customFormat="1" ht="12.75"/>
    <row r="12577" s="23" customFormat="1" ht="12.75"/>
    <row r="12578" s="23" customFormat="1" ht="12.75"/>
    <row r="12579" s="23" customFormat="1" ht="12.75"/>
    <row r="12580" s="23" customFormat="1" ht="12.75"/>
    <row r="12581" s="23" customFormat="1" ht="12.75"/>
    <row r="12582" s="23" customFormat="1" ht="12.75"/>
    <row r="12583" s="23" customFormat="1" ht="12.75"/>
    <row r="12584" s="23" customFormat="1" ht="12.75"/>
    <row r="12585" s="23" customFormat="1" ht="12.75"/>
    <row r="12586" s="23" customFormat="1" ht="12.75"/>
    <row r="12587" s="23" customFormat="1" ht="12.75"/>
    <row r="12588" s="23" customFormat="1" ht="12.75"/>
    <row r="12589" s="23" customFormat="1" ht="12.75"/>
    <row r="12590" s="23" customFormat="1" ht="12.75"/>
    <row r="12591" s="23" customFormat="1" ht="12.75"/>
    <row r="12592" s="23" customFormat="1" ht="12.75"/>
    <row r="12593" s="23" customFormat="1" ht="12.75"/>
    <row r="12594" s="23" customFormat="1" ht="12.75"/>
    <row r="12595" s="23" customFormat="1" ht="12.75"/>
    <row r="12596" s="23" customFormat="1" ht="12.75"/>
    <row r="12597" s="23" customFormat="1" ht="12.75"/>
    <row r="12598" s="23" customFormat="1" ht="12.75"/>
    <row r="12599" s="23" customFormat="1" ht="12.75"/>
    <row r="12600" s="23" customFormat="1" ht="12.75"/>
    <row r="12601" s="23" customFormat="1" ht="12.75"/>
    <row r="12602" s="23" customFormat="1" ht="12.75"/>
    <row r="12603" s="23" customFormat="1" ht="12.75"/>
    <row r="12604" s="23" customFormat="1" ht="12.75"/>
    <row r="12605" s="23" customFormat="1" ht="12.75"/>
    <row r="12606" s="23" customFormat="1" ht="12.75"/>
    <row r="12607" s="23" customFormat="1" ht="12.75"/>
    <row r="12608" s="23" customFormat="1" ht="12.75"/>
    <row r="12609" s="23" customFormat="1" ht="12.75"/>
    <row r="12610" s="23" customFormat="1" ht="12.75"/>
    <row r="12611" s="23" customFormat="1" ht="12.75"/>
    <row r="12612" s="23" customFormat="1" ht="12.75"/>
    <row r="12613" s="23" customFormat="1" ht="12.75"/>
    <row r="12614" s="23" customFormat="1" ht="12.75"/>
    <row r="12615" s="23" customFormat="1" ht="12.75"/>
    <row r="12616" s="23" customFormat="1" ht="12.75"/>
    <row r="12617" s="23" customFormat="1" ht="12.75"/>
    <row r="12618" s="23" customFormat="1" ht="12.75"/>
    <row r="12619" s="23" customFormat="1" ht="12.75"/>
    <row r="12620" s="23" customFormat="1" ht="12.75"/>
    <row r="12621" s="23" customFormat="1" ht="12.75"/>
    <row r="12622" s="23" customFormat="1" ht="12.75"/>
    <row r="12623" s="23" customFormat="1" ht="12.75"/>
    <row r="12624" s="23" customFormat="1" ht="12.75"/>
    <row r="12625" s="23" customFormat="1" ht="12.75"/>
    <row r="12626" s="23" customFormat="1" ht="12.75"/>
    <row r="12627" s="23" customFormat="1" ht="12.75"/>
    <row r="12628" s="23" customFormat="1" ht="12.75"/>
    <row r="12629" s="23" customFormat="1" ht="12.75"/>
    <row r="12630" s="23" customFormat="1" ht="12.75"/>
    <row r="12631" s="23" customFormat="1" ht="12.75"/>
    <row r="12632" s="23" customFormat="1" ht="12.75"/>
    <row r="12633" s="23" customFormat="1" ht="12.75"/>
    <row r="12634" s="23" customFormat="1" ht="12.75"/>
    <row r="12635" s="23" customFormat="1" ht="12.75"/>
    <row r="12636" s="23" customFormat="1" ht="12.75"/>
    <row r="12637" s="23" customFormat="1" ht="12.75"/>
    <row r="12638" s="23" customFormat="1" ht="12.75"/>
    <row r="12639" s="23" customFormat="1" ht="12.75"/>
    <row r="12640" s="23" customFormat="1" ht="12.75"/>
    <row r="12641" s="23" customFormat="1" ht="12.75"/>
    <row r="12642" s="23" customFormat="1" ht="12.75"/>
    <row r="12643" s="23" customFormat="1" ht="12.75"/>
    <row r="12644" s="23" customFormat="1" ht="12.75"/>
    <row r="12645" s="23" customFormat="1" ht="12.75"/>
    <row r="12646" s="23" customFormat="1" ht="12.75"/>
    <row r="12647" s="23" customFormat="1" ht="12.75"/>
    <row r="12648" s="23" customFormat="1" ht="12.75"/>
    <row r="12649" s="23" customFormat="1" ht="12.75"/>
    <row r="12650" s="23" customFormat="1" ht="12.75"/>
    <row r="12651" s="23" customFormat="1" ht="12.75"/>
    <row r="12652" s="23" customFormat="1" ht="12.75"/>
    <row r="12653" s="23" customFormat="1" ht="12.75"/>
    <row r="12654" s="23" customFormat="1" ht="12.75"/>
    <row r="12655" s="23" customFormat="1" ht="12.75"/>
    <row r="12656" s="23" customFormat="1" ht="12.75"/>
    <row r="12657" s="23" customFormat="1" ht="12.75"/>
    <row r="12658" s="23" customFormat="1" ht="12.75"/>
    <row r="12659" s="23" customFormat="1" ht="12.75"/>
    <row r="12660" s="23" customFormat="1" ht="12.75"/>
    <row r="12661" s="23" customFormat="1" ht="12.75"/>
    <row r="12662" s="23" customFormat="1" ht="12.75"/>
    <row r="12663" s="23" customFormat="1" ht="12.75"/>
    <row r="12664" s="23" customFormat="1" ht="12.75"/>
    <row r="12665" s="23" customFormat="1" ht="12.75"/>
    <row r="12666" s="23" customFormat="1" ht="12.75"/>
    <row r="12667" s="23" customFormat="1" ht="12.75"/>
    <row r="12668" s="23" customFormat="1" ht="12.75"/>
    <row r="12669" s="23" customFormat="1" ht="12.75"/>
    <row r="12670" s="23" customFormat="1" ht="12.75"/>
    <row r="12671" s="23" customFormat="1" ht="12.75"/>
    <row r="12672" s="23" customFormat="1" ht="12.75"/>
    <row r="12673" s="23" customFormat="1" ht="12.75"/>
    <row r="12674" s="23" customFormat="1" ht="12.75"/>
    <row r="12675" s="23" customFormat="1" ht="12.75"/>
    <row r="12676" s="23" customFormat="1" ht="12.75"/>
    <row r="12677" s="23" customFormat="1" ht="12.75"/>
    <row r="12678" s="23" customFormat="1" ht="12.75"/>
    <row r="12679" s="23" customFormat="1" ht="12.75"/>
    <row r="12680" s="23" customFormat="1" ht="12.75"/>
    <row r="12681" s="23" customFormat="1" ht="12.75"/>
    <row r="12682" s="23" customFormat="1" ht="12.75"/>
    <row r="12683" s="23" customFormat="1" ht="12.75"/>
    <row r="12684" s="23" customFormat="1" ht="12.75"/>
    <row r="12685" s="23" customFormat="1" ht="12.75"/>
    <row r="12686" s="23" customFormat="1" ht="12.75"/>
    <row r="12687" s="23" customFormat="1" ht="12.75"/>
    <row r="12688" s="23" customFormat="1" ht="12.75"/>
    <row r="12689" s="23" customFormat="1" ht="12.75"/>
    <row r="12690" s="23" customFormat="1" ht="12.75"/>
    <row r="12691" s="23" customFormat="1" ht="12.75"/>
    <row r="12692" s="23" customFormat="1" ht="12.75"/>
    <row r="12693" s="23" customFormat="1" ht="12.75"/>
    <row r="12694" s="23" customFormat="1" ht="12.75"/>
    <row r="12695" s="23" customFormat="1" ht="12.75"/>
    <row r="12696" s="23" customFormat="1" ht="12.75"/>
    <row r="12697" s="23" customFormat="1" ht="12.75"/>
    <row r="12698" s="23" customFormat="1" ht="12.75"/>
    <row r="12699" s="23" customFormat="1" ht="12.75"/>
    <row r="12700" s="23" customFormat="1" ht="12.75"/>
    <row r="12701" s="23" customFormat="1" ht="12.75"/>
    <row r="12702" s="23" customFormat="1" ht="12.75"/>
    <row r="12703" s="23" customFormat="1" ht="12.75"/>
    <row r="12704" s="23" customFormat="1" ht="12.75"/>
    <row r="12705" s="23" customFormat="1" ht="12.75"/>
    <row r="12706" s="23" customFormat="1" ht="12.75"/>
    <row r="12707" s="23" customFormat="1" ht="12.75"/>
    <row r="12708" s="23" customFormat="1" ht="12.75"/>
    <row r="12709" s="23" customFormat="1" ht="12.75"/>
    <row r="12710" s="23" customFormat="1" ht="12.75"/>
    <row r="12711" s="23" customFormat="1" ht="12.75"/>
    <row r="12712" s="23" customFormat="1" ht="12.75"/>
    <row r="12713" s="23" customFormat="1" ht="12.75"/>
    <row r="12714" s="23" customFormat="1" ht="12.75"/>
    <row r="12715" s="23" customFormat="1" ht="12.75"/>
    <row r="12716" s="23" customFormat="1" ht="12.75"/>
    <row r="12717" s="23" customFormat="1" ht="12.75"/>
    <row r="12718" s="23" customFormat="1" ht="12.75"/>
    <row r="12719" s="23" customFormat="1" ht="12.75"/>
    <row r="12720" s="23" customFormat="1" ht="12.75"/>
    <row r="12721" s="23" customFormat="1" ht="12.75"/>
    <row r="12722" s="23" customFormat="1" ht="12.75"/>
    <row r="12723" s="23" customFormat="1" ht="12.75"/>
    <row r="12724" s="23" customFormat="1" ht="12.75"/>
    <row r="12725" s="23" customFormat="1" ht="12.75"/>
    <row r="12726" s="23" customFormat="1" ht="12.75"/>
    <row r="12727" s="23" customFormat="1" ht="12.75"/>
    <row r="12728" s="23" customFormat="1" ht="12.75"/>
    <row r="12729" s="23" customFormat="1" ht="12.75"/>
    <row r="12730" s="23" customFormat="1" ht="12.75"/>
    <row r="12731" s="23" customFormat="1" ht="12.75"/>
    <row r="12732" s="23" customFormat="1" ht="12.75"/>
    <row r="12733" s="23" customFormat="1" ht="12.75"/>
    <row r="12734" s="23" customFormat="1" ht="12.75"/>
    <row r="12735" s="23" customFormat="1" ht="12.75"/>
    <row r="12736" s="23" customFormat="1" ht="12.75"/>
    <row r="12737" s="23" customFormat="1" ht="12.75"/>
    <row r="12738" s="23" customFormat="1" ht="12.75"/>
    <row r="12739" s="23" customFormat="1" ht="12.75"/>
    <row r="12740" s="23" customFormat="1" ht="12.75"/>
    <row r="12741" s="23" customFormat="1" ht="12.75"/>
    <row r="12742" s="23" customFormat="1" ht="12.75"/>
    <row r="12743" s="23" customFormat="1" ht="12.75"/>
    <row r="12744" s="23" customFormat="1" ht="12.75"/>
    <row r="12745" s="23" customFormat="1" ht="12.75"/>
    <row r="12746" s="23" customFormat="1" ht="12.75"/>
    <row r="12747" s="23" customFormat="1" ht="12.75"/>
    <row r="12748" s="23" customFormat="1" ht="12.75"/>
    <row r="12749" s="23" customFormat="1" ht="12.75"/>
    <row r="12750" s="23" customFormat="1" ht="12.75"/>
    <row r="12751" s="23" customFormat="1" ht="12.75"/>
    <row r="12752" s="23" customFormat="1" ht="12.75"/>
    <row r="12753" s="23" customFormat="1" ht="12.75"/>
    <row r="12754" s="23" customFormat="1" ht="12.75"/>
    <row r="12755" s="23" customFormat="1" ht="12.75"/>
    <row r="12756" s="23" customFormat="1" ht="12.75"/>
    <row r="12757" s="23" customFormat="1" ht="12.75"/>
    <row r="12758" s="23" customFormat="1" ht="12.75"/>
    <row r="12759" s="23" customFormat="1" ht="12.75"/>
    <row r="12760" s="23" customFormat="1" ht="12.75"/>
    <row r="12761" s="23" customFormat="1" ht="12.75"/>
    <row r="12762" s="23" customFormat="1" ht="12.75"/>
    <row r="12763" s="23" customFormat="1" ht="12.75"/>
    <row r="12764" s="23" customFormat="1" ht="12.75"/>
    <row r="12765" s="23" customFormat="1" ht="12.75"/>
    <row r="12766" s="23" customFormat="1" ht="12.75"/>
    <row r="12767" s="23" customFormat="1" ht="12.75"/>
    <row r="12768" s="23" customFormat="1" ht="12.75"/>
    <row r="12769" s="23" customFormat="1" ht="12.75"/>
    <row r="12770" s="23" customFormat="1" ht="12.75"/>
    <row r="12771" s="23" customFormat="1" ht="12.75"/>
    <row r="12772" s="23" customFormat="1" ht="12.75"/>
    <row r="12773" s="23" customFormat="1" ht="12.75"/>
    <row r="12774" s="23" customFormat="1" ht="12.75"/>
    <row r="12775" s="23" customFormat="1" ht="12.75"/>
    <row r="12776" s="23" customFormat="1" ht="12.75"/>
    <row r="12777" s="23" customFormat="1" ht="12.75"/>
    <row r="12778" s="23" customFormat="1" ht="12.75"/>
    <row r="12779" s="23" customFormat="1" ht="12.75"/>
    <row r="12780" s="23" customFormat="1" ht="12.75"/>
    <row r="12781" s="23" customFormat="1" ht="12.75"/>
    <row r="12782" s="23" customFormat="1" ht="12.75"/>
    <row r="12783" s="23" customFormat="1" ht="12.75"/>
    <row r="12784" s="23" customFormat="1" ht="12.75"/>
    <row r="12785" s="23" customFormat="1" ht="12.75"/>
    <row r="12786" s="23" customFormat="1" ht="12.75"/>
    <row r="12787" s="23" customFormat="1" ht="12.75"/>
    <row r="12788" s="23" customFormat="1" ht="12.75"/>
    <row r="12789" s="23" customFormat="1" ht="12.75"/>
    <row r="12790" s="23" customFormat="1" ht="12.75"/>
    <row r="12791" s="23" customFormat="1" ht="12.75"/>
    <row r="12792" s="23" customFormat="1" ht="12.75"/>
    <row r="12793" s="23" customFormat="1" ht="12.75"/>
    <row r="12794" s="23" customFormat="1" ht="12.75"/>
    <row r="12795" s="23" customFormat="1" ht="12.75"/>
    <row r="12796" s="23" customFormat="1" ht="12.75"/>
    <row r="12797" s="23" customFormat="1" ht="12.75"/>
    <row r="12798" s="23" customFormat="1" ht="12.75"/>
    <row r="12799" s="23" customFormat="1" ht="12.75"/>
    <row r="12800" s="23" customFormat="1" ht="12.75"/>
    <row r="12801" s="23" customFormat="1" ht="12.75"/>
    <row r="12802" s="23" customFormat="1" ht="12.75"/>
    <row r="12803" s="23" customFormat="1" ht="12.75"/>
    <row r="12804" s="23" customFormat="1" ht="12.75"/>
    <row r="12805" s="23" customFormat="1" ht="12.75"/>
    <row r="12806" s="23" customFormat="1" ht="12.75"/>
    <row r="12807" s="23" customFormat="1" ht="12.75"/>
    <row r="12808" s="23" customFormat="1" ht="12.75"/>
    <row r="12809" s="23" customFormat="1" ht="12.75"/>
    <row r="12810" s="23" customFormat="1" ht="12.75"/>
    <row r="12811" s="23" customFormat="1" ht="12.75"/>
    <row r="12812" s="23" customFormat="1" ht="12.75"/>
    <row r="12813" s="23" customFormat="1" ht="12.75"/>
    <row r="12814" s="23" customFormat="1" ht="12.75"/>
    <row r="12815" s="23" customFormat="1" ht="12.75"/>
    <row r="12816" s="23" customFormat="1" ht="12.75"/>
    <row r="12817" s="23" customFormat="1" ht="12.75"/>
    <row r="12818" s="23" customFormat="1" ht="12.75"/>
    <row r="12819" s="23" customFormat="1" ht="12.75"/>
    <row r="12820" s="23" customFormat="1" ht="12.75"/>
    <row r="12821" s="23" customFormat="1" ht="12.75"/>
    <row r="12822" s="23" customFormat="1" ht="12.75"/>
    <row r="12823" s="23" customFormat="1" ht="12.75"/>
    <row r="12824" s="23" customFormat="1" ht="12.75"/>
    <row r="12825" s="23" customFormat="1" ht="12.75"/>
    <row r="12826" s="23" customFormat="1" ht="12.75"/>
    <row r="12827" s="23" customFormat="1" ht="12.75"/>
    <row r="12828" s="23" customFormat="1" ht="12.75"/>
    <row r="12829" s="23" customFormat="1" ht="12.75"/>
    <row r="12830" s="23" customFormat="1" ht="12.75"/>
    <row r="12831" s="23" customFormat="1" ht="12.75"/>
    <row r="12832" s="23" customFormat="1" ht="12.75"/>
    <row r="12833" s="23" customFormat="1" ht="12.75"/>
    <row r="12834" s="23" customFormat="1" ht="12.75"/>
    <row r="12835" s="23" customFormat="1" ht="12.75"/>
    <row r="12836" s="23" customFormat="1" ht="12.75"/>
    <row r="12837" s="23" customFormat="1" ht="12.75"/>
    <row r="12838" s="23" customFormat="1" ht="12.75"/>
    <row r="12839" s="23" customFormat="1" ht="12.75"/>
    <row r="12840" s="23" customFormat="1" ht="12.75"/>
    <row r="12841" s="23" customFormat="1" ht="12.75"/>
    <row r="12842" s="23" customFormat="1" ht="12.75"/>
    <row r="12843" s="23" customFormat="1" ht="12.75"/>
    <row r="12844" s="23" customFormat="1" ht="12.75"/>
    <row r="12845" s="23" customFormat="1" ht="12.75"/>
    <row r="12846" s="23" customFormat="1" ht="12.75"/>
    <row r="12847" s="23" customFormat="1" ht="12.75"/>
    <row r="12848" s="23" customFormat="1" ht="12.75"/>
    <row r="12849" s="23" customFormat="1" ht="12.75"/>
    <row r="12850" s="23" customFormat="1" ht="12.75"/>
    <row r="12851" s="23" customFormat="1" ht="12.75"/>
    <row r="12852" s="23" customFormat="1" ht="12.75"/>
    <row r="12853" s="23" customFormat="1" ht="12.75"/>
    <row r="12854" s="23" customFormat="1" ht="12.75"/>
    <row r="12855" s="23" customFormat="1" ht="12.75"/>
    <row r="12856" s="23" customFormat="1" ht="12.75"/>
    <row r="12857" s="23" customFormat="1" ht="12.75"/>
    <row r="12858" s="23" customFormat="1" ht="12.75"/>
    <row r="12859" s="23" customFormat="1" ht="12.75"/>
    <row r="12860" s="23" customFormat="1" ht="12.75"/>
    <row r="12861" s="23" customFormat="1" ht="12.75"/>
    <row r="12862" s="23" customFormat="1" ht="12.75"/>
    <row r="12863" s="23" customFormat="1" ht="12.75"/>
    <row r="12864" s="23" customFormat="1" ht="12.75"/>
    <row r="12865" s="23" customFormat="1" ht="12.75"/>
    <row r="12866" s="23" customFormat="1" ht="12.75"/>
    <row r="12867" s="23" customFormat="1" ht="12.75"/>
    <row r="12868" s="23" customFormat="1" ht="12.75"/>
    <row r="12869" s="23" customFormat="1" ht="12.75"/>
    <row r="12870" s="23" customFormat="1" ht="12.75"/>
    <row r="12871" s="23" customFormat="1" ht="12.75"/>
    <row r="12872" s="23" customFormat="1" ht="12.75"/>
    <row r="12873" s="23" customFormat="1" ht="12.75"/>
    <row r="12874" s="23" customFormat="1" ht="12.75"/>
    <row r="12875" s="23" customFormat="1" ht="12.75"/>
    <row r="12876" s="23" customFormat="1" ht="12.75"/>
    <row r="12877" s="23" customFormat="1" ht="12.75"/>
    <row r="12878" s="23" customFormat="1" ht="12.75"/>
    <row r="12879" s="23" customFormat="1" ht="12.75"/>
    <row r="12880" s="23" customFormat="1" ht="12.75"/>
    <row r="12881" s="23" customFormat="1" ht="12.75"/>
    <row r="12882" s="23" customFormat="1" ht="12.75"/>
    <row r="12883" s="23" customFormat="1" ht="12.75"/>
    <row r="12884" s="23" customFormat="1" ht="12.75"/>
    <row r="12885" s="23" customFormat="1" ht="12.75"/>
    <row r="12886" s="23" customFormat="1" ht="12.75"/>
    <row r="12887" s="23" customFormat="1" ht="12.75"/>
    <row r="12888" s="23" customFormat="1" ht="12.75"/>
    <row r="12889" s="23" customFormat="1" ht="12.75"/>
    <row r="12890" s="23" customFormat="1" ht="12.75"/>
    <row r="12891" s="23" customFormat="1" ht="12.75"/>
    <row r="12892" s="23" customFormat="1" ht="12.75"/>
    <row r="12893" s="23" customFormat="1" ht="12.75"/>
    <row r="12894" s="23" customFormat="1" ht="12.75"/>
    <row r="12895" s="23" customFormat="1" ht="12.75"/>
    <row r="12896" s="23" customFormat="1" ht="12.75"/>
    <row r="12897" s="23" customFormat="1" ht="12.75"/>
    <row r="12898" s="23" customFormat="1" ht="12.75"/>
    <row r="12899" s="23" customFormat="1" ht="12.75"/>
    <row r="12900" s="23" customFormat="1" ht="12.75"/>
    <row r="12901" s="23" customFormat="1" ht="12.75"/>
    <row r="12902" s="23" customFormat="1" ht="12.75"/>
    <row r="12903" s="23" customFormat="1" ht="12.75"/>
    <row r="12904" s="23" customFormat="1" ht="12.75"/>
    <row r="12905" s="23" customFormat="1" ht="12.75"/>
    <row r="12906" s="23" customFormat="1" ht="12.75"/>
    <row r="12907" s="23" customFormat="1" ht="12.75"/>
    <row r="12908" s="23" customFormat="1" ht="12.75"/>
    <row r="12909" s="23" customFormat="1" ht="12.75"/>
    <row r="12910" s="23" customFormat="1" ht="12.75"/>
    <row r="12911" s="23" customFormat="1" ht="12.75"/>
    <row r="12912" s="23" customFormat="1" ht="12.75"/>
    <row r="12913" s="23" customFormat="1" ht="12.75"/>
    <row r="12914" s="23" customFormat="1" ht="12.75"/>
    <row r="12915" s="23" customFormat="1" ht="12.75"/>
    <row r="12916" s="23" customFormat="1" ht="12.75"/>
    <row r="12917" s="23" customFormat="1" ht="12.75"/>
    <row r="12918" s="23" customFormat="1" ht="12.75"/>
    <row r="12919" s="23" customFormat="1" ht="12.75"/>
    <row r="12920" s="23" customFormat="1" ht="12.75"/>
    <row r="12921" s="23" customFormat="1" ht="12.75"/>
    <row r="12922" s="23" customFormat="1" ht="12.75"/>
    <row r="12923" s="23" customFormat="1" ht="12.75"/>
    <row r="12924" s="23" customFormat="1" ht="12.75"/>
    <row r="12925" s="23" customFormat="1" ht="12.75"/>
    <row r="12926" s="23" customFormat="1" ht="12.75"/>
    <row r="12927" s="23" customFormat="1" ht="12.75"/>
    <row r="12928" s="23" customFormat="1" ht="12.75"/>
    <row r="12929" s="23" customFormat="1" ht="12.75"/>
    <row r="12930" s="23" customFormat="1" ht="12.75"/>
    <row r="12931" s="23" customFormat="1" ht="12.75"/>
    <row r="12932" s="23" customFormat="1" ht="12.75"/>
    <row r="12933" s="23" customFormat="1" ht="12.75"/>
    <row r="12934" s="23" customFormat="1" ht="12.75"/>
    <row r="12935" s="23" customFormat="1" ht="12.75"/>
    <row r="12936" s="23" customFormat="1" ht="12.75"/>
    <row r="12937" s="23" customFormat="1" ht="12.75"/>
    <row r="12938" s="23" customFormat="1" ht="12.75"/>
    <row r="12939" s="23" customFormat="1" ht="12.75"/>
    <row r="12940" s="23" customFormat="1" ht="12.75"/>
    <row r="12941" s="23" customFormat="1" ht="12.75"/>
    <row r="12942" s="23" customFormat="1" ht="12.75"/>
    <row r="12943" s="23" customFormat="1" ht="12.75"/>
    <row r="12944" s="23" customFormat="1" ht="12.75"/>
    <row r="12945" s="23" customFormat="1" ht="12.75"/>
    <row r="12946" s="23" customFormat="1" ht="12.75"/>
    <row r="12947" s="23" customFormat="1" ht="12.75"/>
    <row r="12948" s="23" customFormat="1" ht="12.75"/>
    <row r="12949" s="23" customFormat="1" ht="12.75"/>
    <row r="12950" s="23" customFormat="1" ht="12.75"/>
    <row r="12951" s="23" customFormat="1" ht="12.75"/>
    <row r="12952" s="23" customFormat="1" ht="12.75"/>
    <row r="12953" s="23" customFormat="1" ht="12.75"/>
    <row r="12954" s="23" customFormat="1" ht="12.75"/>
    <row r="12955" s="23" customFormat="1" ht="12.75"/>
    <row r="12956" s="23" customFormat="1" ht="12.75"/>
    <row r="12957" s="23" customFormat="1" ht="12.75"/>
    <row r="12958" s="23" customFormat="1" ht="12.75"/>
    <row r="12959" s="23" customFormat="1" ht="12.75"/>
    <row r="12960" s="23" customFormat="1" ht="12.75"/>
    <row r="12961" s="23" customFormat="1" ht="12.75"/>
    <row r="12962" s="23" customFormat="1" ht="12.75"/>
    <row r="12963" s="23" customFormat="1" ht="12.75"/>
    <row r="12964" s="23" customFormat="1" ht="12.75"/>
    <row r="12965" s="23" customFormat="1" ht="12.75"/>
    <row r="12966" s="23" customFormat="1" ht="12.75"/>
    <row r="12967" s="23" customFormat="1" ht="12.75"/>
    <row r="12968" s="23" customFormat="1" ht="12.75"/>
    <row r="12969" s="23" customFormat="1" ht="12.75"/>
    <row r="12970" s="23" customFormat="1" ht="12.75"/>
    <row r="12971" s="23" customFormat="1" ht="12.75"/>
    <row r="12972" s="23" customFormat="1" ht="12.75"/>
    <row r="12973" s="23" customFormat="1" ht="12.75"/>
    <row r="12974" s="23" customFormat="1" ht="12.75"/>
    <row r="12975" s="23" customFormat="1" ht="12.75"/>
    <row r="12976" s="23" customFormat="1" ht="12.75"/>
    <row r="12977" s="23" customFormat="1" ht="12.75"/>
    <row r="12978" s="23" customFormat="1" ht="12.75"/>
    <row r="12979" s="23" customFormat="1" ht="12.75"/>
    <row r="12980" s="23" customFormat="1" ht="12.75"/>
    <row r="12981" s="23" customFormat="1" ht="12.75"/>
    <row r="12982" s="23" customFormat="1" ht="12.75"/>
    <row r="12983" s="23" customFormat="1" ht="12.75"/>
    <row r="12984" s="23" customFormat="1" ht="12.75"/>
    <row r="12985" s="23" customFormat="1" ht="12.75"/>
    <row r="12986" s="23" customFormat="1" ht="12.75"/>
    <row r="12987" s="23" customFormat="1" ht="12.75"/>
    <row r="12988" s="23" customFormat="1" ht="12.75"/>
    <row r="12989" s="23" customFormat="1" ht="12.75"/>
    <row r="12990" s="23" customFormat="1" ht="12.75"/>
    <row r="12991" s="23" customFormat="1" ht="12.75"/>
    <row r="12992" s="23" customFormat="1" ht="12.75"/>
    <row r="12993" s="23" customFormat="1" ht="12.75"/>
    <row r="12994" s="23" customFormat="1" ht="12.75"/>
    <row r="12995" s="23" customFormat="1" ht="12.75"/>
    <row r="12996" s="23" customFormat="1" ht="12.75"/>
    <row r="12997" s="23" customFormat="1" ht="12.75"/>
    <row r="12998" s="23" customFormat="1" ht="12.75"/>
    <row r="12999" s="23" customFormat="1" ht="12.75"/>
    <row r="13000" s="23" customFormat="1" ht="12.75"/>
    <row r="13001" s="23" customFormat="1" ht="12.75"/>
    <row r="13002" s="23" customFormat="1" ht="12.75"/>
    <row r="13003" s="23" customFormat="1" ht="12.75"/>
    <row r="13004" s="23" customFormat="1" ht="12.75"/>
    <row r="13005" s="23" customFormat="1" ht="12.75"/>
    <row r="13006" s="23" customFormat="1" ht="12.75"/>
    <row r="13007" s="23" customFormat="1" ht="12.75"/>
    <row r="13008" s="23" customFormat="1" ht="12.75"/>
    <row r="13009" s="23" customFormat="1" ht="12.75"/>
    <row r="13010" s="23" customFormat="1" ht="12.75"/>
    <row r="13011" s="23" customFormat="1" ht="12.75"/>
    <row r="13012" s="23" customFormat="1" ht="12.75"/>
    <row r="13013" s="23" customFormat="1" ht="12.75"/>
    <row r="13014" s="23" customFormat="1" ht="12.75"/>
    <row r="13015" s="23" customFormat="1" ht="12.75"/>
    <row r="13016" s="23" customFormat="1" ht="12.75"/>
    <row r="13017" s="23" customFormat="1" ht="12.75"/>
    <row r="13018" s="23" customFormat="1" ht="12.75"/>
    <row r="13019" s="23" customFormat="1" ht="12.75"/>
    <row r="13020" s="23" customFormat="1" ht="12.75"/>
    <row r="13021" s="23" customFormat="1" ht="12.75"/>
    <row r="13022" s="23" customFormat="1" ht="12.75"/>
    <row r="13023" s="23" customFormat="1" ht="12.75"/>
    <row r="13024" s="23" customFormat="1" ht="12.75"/>
    <row r="13025" s="23" customFormat="1" ht="12.75"/>
    <row r="13026" s="23" customFormat="1" ht="12.75"/>
    <row r="13027" s="23" customFormat="1" ht="12.75"/>
    <row r="13028" s="23" customFormat="1" ht="12.75"/>
    <row r="13029" s="23" customFormat="1" ht="12.75"/>
    <row r="13030" s="23" customFormat="1" ht="12.75"/>
    <row r="13031" s="23" customFormat="1" ht="12.75"/>
    <row r="13032" s="23" customFormat="1" ht="12.75"/>
    <row r="13033" s="23" customFormat="1" ht="12.75"/>
    <row r="13034" s="23" customFormat="1" ht="12.75"/>
    <row r="13035" s="23" customFormat="1" ht="12.75"/>
    <row r="13036" s="23" customFormat="1" ht="12.75"/>
    <row r="13037" s="23" customFormat="1" ht="12.75"/>
    <row r="13038" s="23" customFormat="1" ht="12.75"/>
    <row r="13039" s="23" customFormat="1" ht="12.75"/>
    <row r="13040" s="23" customFormat="1" ht="12.75"/>
    <row r="13041" s="23" customFormat="1" ht="12.75"/>
    <row r="13042" s="23" customFormat="1" ht="12.75"/>
    <row r="13043" s="23" customFormat="1" ht="12.75"/>
    <row r="13044" s="23" customFormat="1" ht="12.75"/>
    <row r="13045" s="23" customFormat="1" ht="12.75"/>
    <row r="13046" s="23" customFormat="1" ht="12.75"/>
    <row r="13047" s="23" customFormat="1" ht="12.75"/>
    <row r="13048" s="23" customFormat="1" ht="12.75"/>
    <row r="13049" s="23" customFormat="1" ht="12.75"/>
    <row r="13050" s="23" customFormat="1" ht="12.75"/>
    <row r="13051" s="23" customFormat="1" ht="12.75"/>
    <row r="13052" s="23" customFormat="1" ht="12.75"/>
    <row r="13053" s="23" customFormat="1" ht="12.75"/>
    <row r="13054" s="23" customFormat="1" ht="12.75"/>
    <row r="13055" s="23" customFormat="1" ht="12.75"/>
    <row r="13056" s="23" customFormat="1" ht="12.75"/>
    <row r="13057" s="23" customFormat="1" ht="12.75"/>
    <row r="13058" s="23" customFormat="1" ht="12.75"/>
    <row r="13059" s="23" customFormat="1" ht="12.75"/>
    <row r="13060" s="23" customFormat="1" ht="12.75"/>
    <row r="13061" s="23" customFormat="1" ht="12.75"/>
    <row r="13062" s="23" customFormat="1" ht="12.75"/>
    <row r="13063" s="23" customFormat="1" ht="12.75"/>
    <row r="13064" s="23" customFormat="1" ht="12.75"/>
    <row r="13065" s="23" customFormat="1" ht="12.75"/>
    <row r="13066" s="23" customFormat="1" ht="12.75"/>
    <row r="13067" s="23" customFormat="1" ht="12.75"/>
    <row r="13068" s="23" customFormat="1" ht="12.75"/>
    <row r="13069" s="23" customFormat="1" ht="12.75"/>
    <row r="13070" s="23" customFormat="1" ht="12.75"/>
    <row r="13071" s="23" customFormat="1" ht="12.75"/>
    <row r="13072" s="23" customFormat="1" ht="12.75"/>
    <row r="13073" s="23" customFormat="1" ht="12.75"/>
    <row r="13074" s="23" customFormat="1" ht="12.75"/>
    <row r="13075" s="23" customFormat="1" ht="12.75"/>
    <row r="13076" s="23" customFormat="1" ht="12.75"/>
    <row r="13077" s="23" customFormat="1" ht="12.75"/>
    <row r="13078" s="23" customFormat="1" ht="12.75"/>
    <row r="13079" s="23" customFormat="1" ht="12.75"/>
    <row r="13080" s="23" customFormat="1" ht="12.75"/>
    <row r="13081" s="23" customFormat="1" ht="12.75"/>
    <row r="13082" s="23" customFormat="1" ht="12.75"/>
    <row r="13083" s="23" customFormat="1" ht="12.75"/>
    <row r="13084" s="23" customFormat="1" ht="12.75"/>
    <row r="13085" s="23" customFormat="1" ht="12.75"/>
    <row r="13086" s="23" customFormat="1" ht="12.75"/>
    <row r="13087" s="23" customFormat="1" ht="12.75"/>
    <row r="13088" s="23" customFormat="1" ht="12.75"/>
    <row r="13089" s="23" customFormat="1" ht="12.75"/>
    <row r="13090" s="23" customFormat="1" ht="12.75"/>
    <row r="13091" s="23" customFormat="1" ht="12.75"/>
    <row r="13092" s="23" customFormat="1" ht="12.75"/>
    <row r="13093" s="23" customFormat="1" ht="12.75"/>
    <row r="13094" s="23" customFormat="1" ht="12.75"/>
    <row r="13095" s="23" customFormat="1" ht="12.75"/>
    <row r="13096" s="23" customFormat="1" ht="12.75"/>
    <row r="13097" s="23" customFormat="1" ht="12.75"/>
    <row r="13098" s="23" customFormat="1" ht="12.75"/>
    <row r="13099" s="23" customFormat="1" ht="12.75"/>
    <row r="13100" s="23" customFormat="1" ht="12.75"/>
    <row r="13101" s="23" customFormat="1" ht="12.75"/>
    <row r="13102" s="23" customFormat="1" ht="12.75"/>
    <row r="13103" s="23" customFormat="1" ht="12.75"/>
    <row r="13104" s="23" customFormat="1" ht="12.75"/>
    <row r="13105" s="23" customFormat="1" ht="12.75"/>
    <row r="13106" s="23" customFormat="1" ht="12.75"/>
    <row r="13107" s="23" customFormat="1" ht="12.75"/>
    <row r="13108" s="23" customFormat="1" ht="12.75"/>
    <row r="13109" s="23" customFormat="1" ht="12.75"/>
    <row r="13110" s="23" customFormat="1" ht="12.75"/>
    <row r="13111" s="23" customFormat="1" ht="12.75"/>
    <row r="13112" s="23" customFormat="1" ht="12.75"/>
    <row r="13113" s="23" customFormat="1" ht="12.75"/>
    <row r="13114" s="23" customFormat="1" ht="12.75"/>
    <row r="13115" s="23" customFormat="1" ht="12.75"/>
    <row r="13116" s="23" customFormat="1" ht="12.75"/>
    <row r="13117" s="23" customFormat="1" ht="12.75"/>
    <row r="13118" s="23" customFormat="1" ht="12.75"/>
    <row r="13119" s="23" customFormat="1" ht="12.75"/>
    <row r="13120" s="23" customFormat="1" ht="12.75"/>
    <row r="13121" s="23" customFormat="1" ht="12.75"/>
    <row r="13122" s="23" customFormat="1" ht="12.75"/>
    <row r="13123" s="23" customFormat="1" ht="12.75"/>
    <row r="13124" s="23" customFormat="1" ht="12.75"/>
    <row r="13125" s="23" customFormat="1" ht="12.75"/>
    <row r="13126" s="23" customFormat="1" ht="12.75"/>
    <row r="13127" s="23" customFormat="1" ht="12.75"/>
    <row r="13128" s="23" customFormat="1" ht="12.75"/>
    <row r="13129" s="23" customFormat="1" ht="12.75"/>
    <row r="13130" s="23" customFormat="1" ht="12.75"/>
    <row r="13131" s="23" customFormat="1" ht="12.75"/>
    <row r="13132" s="23" customFormat="1" ht="12.75"/>
    <row r="13133" s="23" customFormat="1" ht="12.75"/>
    <row r="13134" s="23" customFormat="1" ht="12.75"/>
    <row r="13135" s="23" customFormat="1" ht="12.75"/>
    <row r="13136" s="23" customFormat="1" ht="12.75"/>
    <row r="13137" s="23" customFormat="1" ht="12.75"/>
    <row r="13138" s="23" customFormat="1" ht="12.75"/>
    <row r="13139" s="23" customFormat="1" ht="12.75"/>
    <row r="13140" s="23" customFormat="1" ht="12.75"/>
    <row r="13141" s="23" customFormat="1" ht="12.75"/>
    <row r="13142" s="23" customFormat="1" ht="12.75"/>
    <row r="13143" s="23" customFormat="1" ht="12.75"/>
    <row r="13144" s="23" customFormat="1" ht="12.75"/>
    <row r="13145" s="23" customFormat="1" ht="12.75"/>
    <row r="13146" s="23" customFormat="1" ht="12.75"/>
    <row r="13147" s="23" customFormat="1" ht="12.75"/>
    <row r="13148" s="23" customFormat="1" ht="12.75"/>
    <row r="13149" s="23" customFormat="1" ht="12.75"/>
    <row r="13150" s="23" customFormat="1" ht="12.75"/>
    <row r="13151" s="23" customFormat="1" ht="12.75"/>
    <row r="13152" s="23" customFormat="1" ht="12.75"/>
    <row r="13153" s="23" customFormat="1" ht="12.75"/>
    <row r="13154" s="23" customFormat="1" ht="12.75"/>
    <row r="13155" s="23" customFormat="1" ht="12.75"/>
    <row r="13156" s="23" customFormat="1" ht="12.75"/>
    <row r="13157" s="23" customFormat="1" ht="12.75"/>
    <row r="13158" s="23" customFormat="1" ht="12.75"/>
    <row r="13159" s="23" customFormat="1" ht="12.75"/>
    <row r="13160" s="23" customFormat="1" ht="12.75"/>
    <row r="13161" s="23" customFormat="1" ht="12.75"/>
    <row r="13162" s="23" customFormat="1" ht="12.75"/>
    <row r="13163" s="23" customFormat="1" ht="12.75"/>
    <row r="13164" s="23" customFormat="1" ht="12.75"/>
    <row r="13165" s="23" customFormat="1" ht="12.75"/>
    <row r="13166" s="23" customFormat="1" ht="12.75"/>
    <row r="13167" s="23" customFormat="1" ht="12.75"/>
    <row r="13168" s="23" customFormat="1" ht="12.75"/>
    <row r="13169" s="23" customFormat="1" ht="12.75"/>
    <row r="13170" s="23" customFormat="1" ht="12.75"/>
    <row r="13171" s="23" customFormat="1" ht="12.75"/>
    <row r="13172" s="23" customFormat="1" ht="12.75"/>
    <row r="13173" s="23" customFormat="1" ht="12.75"/>
    <row r="13174" s="23" customFormat="1" ht="12.75"/>
    <row r="13175" s="23" customFormat="1" ht="12.75"/>
    <row r="13176" s="23" customFormat="1" ht="12.75"/>
    <row r="13177" s="23" customFormat="1" ht="12.75"/>
    <row r="13178" s="23" customFormat="1" ht="12.75"/>
    <row r="13179" s="23" customFormat="1" ht="12.75"/>
    <row r="13180" s="23" customFormat="1" ht="12.75"/>
    <row r="13181" s="23" customFormat="1" ht="12.75"/>
    <row r="13182" s="23" customFormat="1" ht="12.75"/>
    <row r="13183" s="23" customFormat="1" ht="12.75"/>
    <row r="13184" s="23" customFormat="1" ht="12.75"/>
    <row r="13185" s="23" customFormat="1" ht="12.75"/>
    <row r="13186" s="23" customFormat="1" ht="12.75"/>
    <row r="13187" s="23" customFormat="1" ht="12.75"/>
    <row r="13188" s="23" customFormat="1" ht="12.75"/>
    <row r="13189" s="23" customFormat="1" ht="12.75"/>
    <row r="13190" s="23" customFormat="1" ht="12.75"/>
    <row r="13191" s="23" customFormat="1" ht="12.75"/>
    <row r="13192" s="23" customFormat="1" ht="12.75"/>
    <row r="13193" s="23" customFormat="1" ht="12.75"/>
    <row r="13194" s="23" customFormat="1" ht="12.75"/>
    <row r="13195" s="23" customFormat="1" ht="12.75"/>
    <row r="13196" s="23" customFormat="1" ht="12.75"/>
    <row r="13197" s="23" customFormat="1" ht="12.75"/>
    <row r="13198" s="23" customFormat="1" ht="12.75"/>
    <row r="13199" s="23" customFormat="1" ht="12.75"/>
    <row r="13200" s="23" customFormat="1" ht="12.75"/>
    <row r="13201" s="23" customFormat="1" ht="12.75"/>
    <row r="13202" s="23" customFormat="1" ht="12.75"/>
    <row r="13203" s="23" customFormat="1" ht="12.75"/>
    <row r="13204" s="23" customFormat="1" ht="12.75"/>
    <row r="13205" s="23" customFormat="1" ht="12.75"/>
    <row r="13206" s="23" customFormat="1" ht="12.75"/>
    <row r="13207" s="23" customFormat="1" ht="12.75"/>
    <row r="13208" s="23" customFormat="1" ht="12.75"/>
    <row r="13209" s="23" customFormat="1" ht="12.75"/>
    <row r="13210" s="23" customFormat="1" ht="12.75"/>
    <row r="13211" s="23" customFormat="1" ht="12.75"/>
    <row r="13212" s="23" customFormat="1" ht="12.75"/>
    <row r="13213" s="23" customFormat="1" ht="12.75"/>
    <row r="13214" s="23" customFormat="1" ht="12.75"/>
    <row r="13215" s="23" customFormat="1" ht="12.75"/>
    <row r="13216" s="23" customFormat="1" ht="12.75"/>
    <row r="13217" s="23" customFormat="1" ht="12.75"/>
    <row r="13218" s="23" customFormat="1" ht="12.75"/>
    <row r="13219" s="23" customFormat="1" ht="12.75"/>
    <row r="13220" s="23" customFormat="1" ht="12.75"/>
    <row r="13221" s="23" customFormat="1" ht="12.75"/>
    <row r="13222" s="23" customFormat="1" ht="12.75"/>
    <row r="13223" s="23" customFormat="1" ht="12.75"/>
    <row r="13224" s="23" customFormat="1" ht="12.75"/>
    <row r="13225" s="23" customFormat="1" ht="12.75"/>
    <row r="13226" s="23" customFormat="1" ht="12.75"/>
    <row r="13227" s="23" customFormat="1" ht="12.75"/>
    <row r="13228" s="23" customFormat="1" ht="12.75"/>
    <row r="13229" s="23" customFormat="1" ht="12.75"/>
    <row r="13230" s="23" customFormat="1" ht="12.75"/>
    <row r="13231" s="23" customFormat="1" ht="12.75"/>
    <row r="13232" s="23" customFormat="1" ht="12.75"/>
    <row r="13233" s="23" customFormat="1" ht="12.75"/>
    <row r="13234" s="23" customFormat="1" ht="12.75"/>
    <row r="13235" s="23" customFormat="1" ht="12.75"/>
    <row r="13236" s="23" customFormat="1" ht="12.75"/>
    <row r="13237" s="23" customFormat="1" ht="12.75"/>
    <row r="13238" s="23" customFormat="1" ht="12.75"/>
    <row r="13239" s="23" customFormat="1" ht="12.75"/>
    <row r="13240" s="23" customFormat="1" ht="12.75"/>
    <row r="13241" s="23" customFormat="1" ht="12.75"/>
    <row r="13242" s="23" customFormat="1" ht="12.75"/>
    <row r="13243" s="23" customFormat="1" ht="12.75"/>
    <row r="13244" s="23" customFormat="1" ht="12.75"/>
    <row r="13245" s="23" customFormat="1" ht="12.75"/>
    <row r="13246" s="23" customFormat="1" ht="12.75"/>
    <row r="13247" s="23" customFormat="1" ht="12.75"/>
    <row r="13248" s="23" customFormat="1" ht="12.75"/>
    <row r="13249" s="23" customFormat="1" ht="12.75"/>
    <row r="13250" s="23" customFormat="1" ht="12.75"/>
    <row r="13251" s="23" customFormat="1" ht="12.75"/>
    <row r="13252" s="23" customFormat="1" ht="12.75"/>
    <row r="13253" s="23" customFormat="1" ht="12.75"/>
    <row r="13254" s="23" customFormat="1" ht="12.75"/>
    <row r="13255" s="23" customFormat="1" ht="12.75"/>
    <row r="13256" s="23" customFormat="1" ht="12.75"/>
    <row r="13257" s="23" customFormat="1" ht="12.75"/>
    <row r="13258" s="23" customFormat="1" ht="12.75"/>
    <row r="13259" s="23" customFormat="1" ht="12.75"/>
    <row r="13260" s="23" customFormat="1" ht="12.75"/>
    <row r="13261" s="23" customFormat="1" ht="12.75"/>
    <row r="13262" s="23" customFormat="1" ht="12.75"/>
    <row r="13263" s="23" customFormat="1" ht="12.75"/>
    <row r="13264" s="23" customFormat="1" ht="12.75"/>
    <row r="13265" s="23" customFormat="1" ht="12.75"/>
    <row r="13266" s="23" customFormat="1" ht="12.75"/>
    <row r="13267" s="23" customFormat="1" ht="12.75"/>
    <row r="13268" s="23" customFormat="1" ht="12.75"/>
    <row r="13269" s="23" customFormat="1" ht="12.75"/>
    <row r="13270" s="23" customFormat="1" ht="12.75"/>
    <row r="13271" s="23" customFormat="1" ht="12.75"/>
    <row r="13272" s="23" customFormat="1" ht="12.75"/>
    <row r="13273" s="23" customFormat="1" ht="12.75"/>
    <row r="13274" s="23" customFormat="1" ht="12.75"/>
    <row r="13275" s="23" customFormat="1" ht="12.75"/>
    <row r="13276" s="23" customFormat="1" ht="12.75"/>
    <row r="13277" s="23" customFormat="1" ht="12.75"/>
    <row r="13278" s="23" customFormat="1" ht="12.75"/>
    <row r="13279" s="23" customFormat="1" ht="12.75"/>
    <row r="13280" s="23" customFormat="1" ht="12.75"/>
    <row r="13281" s="23" customFormat="1" ht="12.75"/>
    <row r="13282" s="23" customFormat="1" ht="12.75"/>
    <row r="13283" s="23" customFormat="1" ht="12.75"/>
    <row r="13284" s="23" customFormat="1" ht="12.75"/>
    <row r="13285" s="23" customFormat="1" ht="12.75"/>
    <row r="13286" s="23" customFormat="1" ht="12.75"/>
    <row r="13287" s="23" customFormat="1" ht="12.75"/>
    <row r="13288" s="23" customFormat="1" ht="12.75"/>
    <row r="13289" s="23" customFormat="1" ht="12.75"/>
    <row r="13290" s="23" customFormat="1" ht="12.75"/>
    <row r="13291" s="23" customFormat="1" ht="12.75"/>
    <row r="13292" s="23" customFormat="1" ht="12.75"/>
    <row r="13293" s="23" customFormat="1" ht="12.75"/>
    <row r="13294" s="23" customFormat="1" ht="12.75"/>
    <row r="13295" s="23" customFormat="1" ht="12.75"/>
    <row r="13296" s="23" customFormat="1" ht="12.75"/>
    <row r="13297" s="23" customFormat="1" ht="12.75"/>
    <row r="13298" s="23" customFormat="1" ht="12.75"/>
    <row r="13299" s="23" customFormat="1" ht="12.75"/>
    <row r="13300" s="23" customFormat="1" ht="12.75"/>
    <row r="13301" s="23" customFormat="1" ht="12.75"/>
    <row r="13302" s="23" customFormat="1" ht="12.75"/>
    <row r="13303" s="23" customFormat="1" ht="12.75"/>
    <row r="13304" s="23" customFormat="1" ht="12.75"/>
    <row r="13305" s="23" customFormat="1" ht="12.75"/>
    <row r="13306" s="23" customFormat="1" ht="12.75"/>
    <row r="13307" s="23" customFormat="1" ht="12.75"/>
    <row r="13308" s="23" customFormat="1" ht="12.75"/>
    <row r="13309" s="23" customFormat="1" ht="12.75"/>
    <row r="13310" s="23" customFormat="1" ht="12.75"/>
    <row r="13311" s="23" customFormat="1" ht="12.75"/>
    <row r="13312" s="23" customFormat="1" ht="12.75"/>
    <row r="13313" s="23" customFormat="1" ht="12.75"/>
    <row r="13314" s="23" customFormat="1" ht="12.75"/>
    <row r="13315" s="23" customFormat="1" ht="12.75"/>
    <row r="13316" s="23" customFormat="1" ht="12.75"/>
    <row r="13317" s="23" customFormat="1" ht="12.75"/>
    <row r="13318" s="23" customFormat="1" ht="12.75"/>
    <row r="13319" s="23" customFormat="1" ht="12.75"/>
    <row r="13320" s="23" customFormat="1" ht="12.75"/>
    <row r="13321" s="23" customFormat="1" ht="12.75"/>
    <row r="13322" s="23" customFormat="1" ht="12.75"/>
    <row r="13323" s="23" customFormat="1" ht="12.75"/>
    <row r="13324" s="23" customFormat="1" ht="12.75"/>
    <row r="13325" s="23" customFormat="1" ht="12.75"/>
    <row r="13326" s="23" customFormat="1" ht="12.75"/>
    <row r="13327" s="23" customFormat="1" ht="12.75"/>
    <row r="13328" s="23" customFormat="1" ht="12.75"/>
    <row r="13329" s="23" customFormat="1" ht="12.75"/>
    <row r="13330" s="23" customFormat="1" ht="12.75"/>
    <row r="13331" s="23" customFormat="1" ht="12.75"/>
    <row r="13332" s="23" customFormat="1" ht="12.75"/>
    <row r="13333" s="23" customFormat="1" ht="12.75"/>
    <row r="13334" s="23" customFormat="1" ht="12.75"/>
    <row r="13335" s="23" customFormat="1" ht="12.75"/>
    <row r="13336" s="23" customFormat="1" ht="12.75"/>
    <row r="13337" s="23" customFormat="1" ht="12.75"/>
    <row r="13338" s="23" customFormat="1" ht="12.75"/>
    <row r="13339" s="23" customFormat="1" ht="12.75"/>
    <row r="13340" s="23" customFormat="1" ht="12.75"/>
    <row r="13341" s="23" customFormat="1" ht="12.75"/>
    <row r="13342" s="23" customFormat="1" ht="12.75"/>
    <row r="13343" s="23" customFormat="1" ht="12.75"/>
    <row r="13344" s="23" customFormat="1" ht="12.75"/>
    <row r="13345" s="23" customFormat="1" ht="12.75"/>
    <row r="13346" s="23" customFormat="1" ht="12.75"/>
    <row r="13347" s="23" customFormat="1" ht="12.75"/>
    <row r="13348" s="23" customFormat="1" ht="12.75"/>
    <row r="13349" s="23" customFormat="1" ht="12.75"/>
    <row r="13350" s="23" customFormat="1" ht="12.75"/>
    <row r="13351" s="23" customFormat="1" ht="12.75"/>
    <row r="13352" s="23" customFormat="1" ht="12.75"/>
    <row r="13353" s="23" customFormat="1" ht="12.75"/>
    <row r="13354" s="23" customFormat="1" ht="12.75"/>
    <row r="13355" s="23" customFormat="1" ht="12.75"/>
    <row r="13356" s="23" customFormat="1" ht="12.75"/>
    <row r="13357" s="23" customFormat="1" ht="12.75"/>
    <row r="13358" s="23" customFormat="1" ht="12.75"/>
    <row r="13359" s="23" customFormat="1" ht="12.75"/>
    <row r="13360" s="23" customFormat="1" ht="12.75"/>
    <row r="13361" s="23" customFormat="1" ht="12.75"/>
    <row r="13362" s="23" customFormat="1" ht="12.75"/>
    <row r="13363" s="23" customFormat="1" ht="12.75"/>
    <row r="13364" s="23" customFormat="1" ht="12.75"/>
    <row r="13365" s="23" customFormat="1" ht="12.75"/>
    <row r="13366" s="23" customFormat="1" ht="12.75"/>
    <row r="13367" s="23" customFormat="1" ht="12.75"/>
    <row r="13368" s="23" customFormat="1" ht="12.75"/>
    <row r="13369" s="23" customFormat="1" ht="12.75"/>
    <row r="13370" s="23" customFormat="1" ht="12.75"/>
    <row r="13371" s="23" customFormat="1" ht="12.75"/>
    <row r="13372" s="23" customFormat="1" ht="12.75"/>
    <row r="13373" s="23" customFormat="1" ht="12.75"/>
    <row r="13374" s="23" customFormat="1" ht="12.75"/>
    <row r="13375" s="23" customFormat="1" ht="12.75"/>
    <row r="13376" s="23" customFormat="1" ht="12.75"/>
    <row r="13377" s="23" customFormat="1" ht="12.75"/>
    <row r="13378" s="23" customFormat="1" ht="12.75"/>
    <row r="13379" s="23" customFormat="1" ht="12.75"/>
    <row r="13380" s="23" customFormat="1" ht="12.75"/>
    <row r="13381" s="23" customFormat="1" ht="12.75"/>
    <row r="13382" s="23" customFormat="1" ht="12.75"/>
    <row r="13383" s="23" customFormat="1" ht="12.75"/>
    <row r="13384" s="23" customFormat="1" ht="12.75"/>
    <row r="13385" s="23" customFormat="1" ht="12.75"/>
    <row r="13386" s="23" customFormat="1" ht="12.75"/>
    <row r="13387" s="23" customFormat="1" ht="12.75"/>
    <row r="13388" s="23" customFormat="1" ht="12.75"/>
    <row r="13389" s="23" customFormat="1" ht="12.75"/>
    <row r="13390" s="23" customFormat="1" ht="12.75"/>
    <row r="13391" s="23" customFormat="1" ht="12.75"/>
    <row r="13392" s="23" customFormat="1" ht="12.75"/>
    <row r="13393" s="23" customFormat="1" ht="12.75"/>
    <row r="13394" s="23" customFormat="1" ht="12.75"/>
    <row r="13395" s="23" customFormat="1" ht="12.75"/>
    <row r="13396" s="23" customFormat="1" ht="12.75"/>
    <row r="13397" s="23" customFormat="1" ht="12.75"/>
    <row r="13398" s="23" customFormat="1" ht="12.75"/>
    <row r="13399" s="23" customFormat="1" ht="12.75"/>
    <row r="13400" s="23" customFormat="1" ht="12.75"/>
    <row r="13401" s="23" customFormat="1" ht="12.75"/>
    <row r="13402" s="23" customFormat="1" ht="12.75"/>
    <row r="13403" s="23" customFormat="1" ht="12.75"/>
    <row r="13404" s="23" customFormat="1" ht="12.75"/>
    <row r="13405" s="23" customFormat="1" ht="12.75"/>
    <row r="13406" s="23" customFormat="1" ht="12.75"/>
    <row r="13407" s="23" customFormat="1" ht="12.75"/>
    <row r="13408" s="23" customFormat="1" ht="12.75"/>
    <row r="13409" s="23" customFormat="1" ht="12.75"/>
    <row r="13410" s="23" customFormat="1" ht="12.75"/>
    <row r="13411" s="23" customFormat="1" ht="12.75"/>
    <row r="13412" s="23" customFormat="1" ht="12.75"/>
    <row r="13413" s="23" customFormat="1" ht="12.75"/>
    <row r="13414" s="23" customFormat="1" ht="12.75"/>
    <row r="13415" s="23" customFormat="1" ht="12.75"/>
    <row r="13416" s="23" customFormat="1" ht="12.75"/>
    <row r="13417" s="23" customFormat="1" ht="12.75"/>
    <row r="13418" s="23" customFormat="1" ht="12.75"/>
    <row r="13419" s="23" customFormat="1" ht="12.75"/>
    <row r="13420" s="23" customFormat="1" ht="12.75"/>
    <row r="13421" s="23" customFormat="1" ht="12.75"/>
    <row r="13422" s="23" customFormat="1" ht="12.75"/>
    <row r="13423" s="23" customFormat="1" ht="12.75"/>
    <row r="13424" s="23" customFormat="1" ht="12.75"/>
    <row r="13425" s="23" customFormat="1" ht="12.75"/>
    <row r="13426" s="23" customFormat="1" ht="12.75"/>
    <row r="13427" s="23" customFormat="1" ht="12.75"/>
    <row r="13428" s="23" customFormat="1" ht="12.75"/>
    <row r="13429" s="23" customFormat="1" ht="12.75"/>
    <row r="13430" s="23" customFormat="1" ht="12.75"/>
    <row r="13431" s="23" customFormat="1" ht="12.75"/>
    <row r="13432" s="23" customFormat="1" ht="12.75"/>
    <row r="13433" s="23" customFormat="1" ht="12.75"/>
    <row r="13434" s="23" customFormat="1" ht="12.75"/>
    <row r="13435" s="23" customFormat="1" ht="12.75"/>
    <row r="13436" s="23" customFormat="1" ht="12.75"/>
    <row r="13437" s="23" customFormat="1" ht="12.75"/>
    <row r="13438" s="23" customFormat="1" ht="12.75"/>
    <row r="13439" s="23" customFormat="1" ht="12.75"/>
    <row r="13440" s="23" customFormat="1" ht="12.75"/>
    <row r="13441" s="23" customFormat="1" ht="12.75"/>
    <row r="13442" s="23" customFormat="1" ht="12.75"/>
    <row r="13443" s="23" customFormat="1" ht="12.75"/>
    <row r="13444" s="23" customFormat="1" ht="12.75"/>
    <row r="13445" s="23" customFormat="1" ht="12.75"/>
    <row r="13446" s="23" customFormat="1" ht="12.75"/>
    <row r="13447" s="23" customFormat="1" ht="12.75"/>
    <row r="13448" s="23" customFormat="1" ht="12.75"/>
    <row r="13449" s="23" customFormat="1" ht="12.75"/>
    <row r="13450" s="23" customFormat="1" ht="12.75"/>
    <row r="13451" s="23" customFormat="1" ht="12.75"/>
    <row r="13452" s="23" customFormat="1" ht="12.75"/>
    <row r="13453" s="23" customFormat="1" ht="12.75"/>
    <row r="13454" s="23" customFormat="1" ht="12.75"/>
    <row r="13455" s="23" customFormat="1" ht="12.75"/>
    <row r="13456" s="23" customFormat="1" ht="12.75"/>
    <row r="13457" s="23" customFormat="1" ht="12.75"/>
    <row r="13458" s="23" customFormat="1" ht="12.75"/>
    <row r="13459" s="23" customFormat="1" ht="12.75"/>
    <row r="13460" s="23" customFormat="1" ht="12.75"/>
    <row r="13461" s="23" customFormat="1" ht="12.75"/>
    <row r="13462" s="23" customFormat="1" ht="12.75"/>
    <row r="13463" s="23" customFormat="1" ht="12.75"/>
    <row r="13464" s="23" customFormat="1" ht="12.75"/>
    <row r="13465" s="23" customFormat="1" ht="12.75"/>
    <row r="13466" s="23" customFormat="1" ht="12.75"/>
    <row r="13467" s="23" customFormat="1" ht="12.75"/>
    <row r="13468" s="23" customFormat="1" ht="12.75"/>
    <row r="13469" s="23" customFormat="1" ht="12.75"/>
    <row r="13470" s="23" customFormat="1" ht="12.75"/>
    <row r="13471" s="23" customFormat="1" ht="12.75"/>
    <row r="13472" s="23" customFormat="1" ht="12.75"/>
    <row r="13473" s="23" customFormat="1" ht="12.75"/>
    <row r="13474" s="23" customFormat="1" ht="12.75"/>
    <row r="13475" s="23" customFormat="1" ht="12.75"/>
    <row r="13476" s="23" customFormat="1" ht="12.75"/>
    <row r="13477" s="23" customFormat="1" ht="12.75"/>
    <row r="13478" s="23" customFormat="1" ht="12.75"/>
    <row r="13479" s="23" customFormat="1" ht="12.75"/>
    <row r="13480" s="23" customFormat="1" ht="12.75"/>
    <row r="13481" s="23" customFormat="1" ht="12.75"/>
    <row r="13482" s="23" customFormat="1" ht="12.75"/>
    <row r="13483" s="23" customFormat="1" ht="12.75"/>
    <row r="13484" s="23" customFormat="1" ht="12.75"/>
    <row r="13485" s="23" customFormat="1" ht="12.75"/>
    <row r="13486" s="23" customFormat="1" ht="12.75"/>
    <row r="13487" s="23" customFormat="1" ht="12.75"/>
    <row r="13488" s="23" customFormat="1" ht="12.75"/>
    <row r="13489" s="23" customFormat="1" ht="12.75"/>
    <row r="13490" s="23" customFormat="1" ht="12.75"/>
    <row r="13491" s="23" customFormat="1" ht="12.75"/>
    <row r="13492" s="23" customFormat="1" ht="12.75"/>
    <row r="13493" s="23" customFormat="1" ht="12.75"/>
    <row r="13494" s="23" customFormat="1" ht="12.75"/>
    <row r="13495" s="23" customFormat="1" ht="12.75"/>
    <row r="13496" s="23" customFormat="1" ht="12.75"/>
    <row r="13497" s="23" customFormat="1" ht="12.75"/>
    <row r="13498" s="23" customFormat="1" ht="12.75"/>
    <row r="13499" s="23" customFormat="1" ht="12.75"/>
    <row r="13500" s="23" customFormat="1" ht="12.75"/>
    <row r="13501" s="23" customFormat="1" ht="12.75"/>
    <row r="13502" s="23" customFormat="1" ht="12.75"/>
    <row r="13503" s="23" customFormat="1" ht="12.75"/>
    <row r="13504" s="23" customFormat="1" ht="12.75"/>
    <row r="13505" s="23" customFormat="1" ht="12.75"/>
    <row r="13506" s="23" customFormat="1" ht="12.75"/>
    <row r="13507" s="23" customFormat="1" ht="12.75"/>
    <row r="13508" s="23" customFormat="1" ht="12.75"/>
    <row r="13509" s="23" customFormat="1" ht="12.75"/>
    <row r="13510" s="23" customFormat="1" ht="12.75"/>
    <row r="13511" s="23" customFormat="1" ht="12.75"/>
    <row r="13512" s="23" customFormat="1" ht="12.75"/>
    <row r="13513" s="23" customFormat="1" ht="12.75"/>
    <row r="13514" s="23" customFormat="1" ht="12.75"/>
    <row r="13515" s="23" customFormat="1" ht="12.75"/>
    <row r="13516" s="23" customFormat="1" ht="12.75"/>
    <row r="13517" s="23" customFormat="1" ht="12.75"/>
    <row r="13518" s="23" customFormat="1" ht="12.75"/>
    <row r="13519" s="23" customFormat="1" ht="12.75"/>
    <row r="13520" s="23" customFormat="1" ht="12.75"/>
    <row r="13521" s="23" customFormat="1" ht="12.75"/>
    <row r="13522" s="23" customFormat="1" ht="12.75"/>
    <row r="13523" s="23" customFormat="1" ht="12.75"/>
    <row r="13524" s="23" customFormat="1" ht="12.75"/>
    <row r="13525" s="23" customFormat="1" ht="12.75"/>
    <row r="13526" s="23" customFormat="1" ht="12.75"/>
    <row r="13527" s="23" customFormat="1" ht="12.75"/>
    <row r="13528" s="23" customFormat="1" ht="12.75"/>
    <row r="13529" s="23" customFormat="1" ht="12.75"/>
    <row r="13530" s="23" customFormat="1" ht="12.75"/>
    <row r="13531" s="23" customFormat="1" ht="12.75"/>
    <row r="13532" s="23" customFormat="1" ht="12.75"/>
    <row r="13533" s="23" customFormat="1" ht="12.75"/>
    <row r="13534" s="23" customFormat="1" ht="12.75"/>
    <row r="13535" s="23" customFormat="1" ht="12.75"/>
    <row r="13536" s="23" customFormat="1" ht="12.75"/>
    <row r="13537" s="23" customFormat="1" ht="12.75"/>
    <row r="13538" s="23" customFormat="1" ht="12.75"/>
    <row r="13539" s="23" customFormat="1" ht="12.75"/>
    <row r="13540" s="23" customFormat="1" ht="12.75"/>
    <row r="13541" s="23" customFormat="1" ht="12.75"/>
    <row r="13542" s="23" customFormat="1" ht="12.75"/>
    <row r="13543" s="23" customFormat="1" ht="12.75"/>
    <row r="13544" s="23" customFormat="1" ht="12.75"/>
    <row r="13545" s="23" customFormat="1" ht="12.75"/>
    <row r="13546" s="23" customFormat="1" ht="12.75"/>
    <row r="13547" s="23" customFormat="1" ht="12.75"/>
    <row r="13548" s="23" customFormat="1" ht="12.75"/>
    <row r="13549" s="23" customFormat="1" ht="12.75"/>
    <row r="13550" s="23" customFormat="1" ht="12.75"/>
    <row r="13551" s="23" customFormat="1" ht="12.75"/>
    <row r="13552" s="23" customFormat="1" ht="12.75"/>
    <row r="13553" s="23" customFormat="1" ht="12.75"/>
    <row r="13554" s="23" customFormat="1" ht="12.75"/>
    <row r="13555" s="23" customFormat="1" ht="12.75"/>
    <row r="13556" s="23" customFormat="1" ht="12.75"/>
    <row r="13557" s="23" customFormat="1" ht="12.75"/>
    <row r="13558" s="23" customFormat="1" ht="12.75"/>
    <row r="13559" s="23" customFormat="1" ht="12.75"/>
    <row r="13560" s="23" customFormat="1" ht="12.75"/>
    <row r="13561" s="23" customFormat="1" ht="12.75"/>
    <row r="13562" s="23" customFormat="1" ht="12.75"/>
    <row r="13563" s="23" customFormat="1" ht="12.75"/>
    <row r="13564" s="23" customFormat="1" ht="12.75"/>
    <row r="13565" s="23" customFormat="1" ht="12.75"/>
    <row r="13566" s="23" customFormat="1" ht="12.75"/>
    <row r="13567" s="23" customFormat="1" ht="12.75"/>
    <row r="13568" s="23" customFormat="1" ht="12.75"/>
    <row r="13569" s="23" customFormat="1" ht="12.75"/>
    <row r="13570" s="23" customFormat="1" ht="12.75"/>
    <row r="13571" s="23" customFormat="1" ht="12.75"/>
    <row r="13572" s="23" customFormat="1" ht="12.75"/>
    <row r="13573" s="23" customFormat="1" ht="12.75"/>
    <row r="13574" s="23" customFormat="1" ht="12.75"/>
    <row r="13575" s="23" customFormat="1" ht="12.75"/>
    <row r="13576" s="23" customFormat="1" ht="12.75"/>
    <row r="13577" s="23" customFormat="1" ht="12.75"/>
    <row r="13578" s="23" customFormat="1" ht="12.75"/>
    <row r="13579" s="23" customFormat="1" ht="12.75"/>
    <row r="13580" s="23" customFormat="1" ht="12.75"/>
    <row r="13581" s="23" customFormat="1" ht="12.75"/>
    <row r="13582" s="23" customFormat="1" ht="12.75"/>
    <row r="13583" s="23" customFormat="1" ht="12.75"/>
    <row r="13584" s="23" customFormat="1" ht="12.75"/>
    <row r="13585" s="23" customFormat="1" ht="12.75"/>
    <row r="13586" s="23" customFormat="1" ht="12.75"/>
    <row r="13587" s="23" customFormat="1" ht="12.75"/>
    <row r="13588" s="23" customFormat="1" ht="12.75"/>
    <row r="13589" s="23" customFormat="1" ht="12.75"/>
    <row r="13590" s="23" customFormat="1" ht="12.75"/>
    <row r="13591" s="23" customFormat="1" ht="12.75"/>
    <row r="13592" s="23" customFormat="1" ht="12.75"/>
    <row r="13593" s="23" customFormat="1" ht="12.75"/>
    <row r="13594" s="23" customFormat="1" ht="12.75"/>
    <row r="13595" s="23" customFormat="1" ht="12.75"/>
    <row r="13596" s="23" customFormat="1" ht="12.75"/>
    <row r="13597" s="23" customFormat="1" ht="12.75"/>
    <row r="13598" s="23" customFormat="1" ht="12.75"/>
    <row r="13599" s="23" customFormat="1" ht="12.75"/>
    <row r="13600" s="23" customFormat="1" ht="12.75"/>
    <row r="13601" s="23" customFormat="1" ht="12.75"/>
    <row r="13602" s="23" customFormat="1" ht="12.75"/>
    <row r="13603" s="23" customFormat="1" ht="12.75"/>
    <row r="13604" s="23" customFormat="1" ht="12.75"/>
    <row r="13605" s="23" customFormat="1" ht="12.75"/>
    <row r="13606" s="23" customFormat="1" ht="12.75"/>
    <row r="13607" s="23" customFormat="1" ht="12.75"/>
    <row r="13608" s="23" customFormat="1" ht="12.75"/>
    <row r="13609" s="23" customFormat="1" ht="12.75"/>
    <row r="13610" s="23" customFormat="1" ht="12.75"/>
    <row r="13611" s="23" customFormat="1" ht="12.75"/>
    <row r="13612" s="23" customFormat="1" ht="12.75"/>
    <row r="13613" s="23" customFormat="1" ht="12.75"/>
    <row r="13614" s="23" customFormat="1" ht="12.75"/>
    <row r="13615" s="23" customFormat="1" ht="12.75"/>
    <row r="13616" s="23" customFormat="1" ht="12.75"/>
  </sheetData>
  <sheetProtection/>
  <mergeCells count="31">
    <mergeCell ref="M7:O8"/>
    <mergeCell ref="P7:R8"/>
    <mergeCell ref="R12:T13"/>
    <mergeCell ref="R14:T15"/>
    <mergeCell ref="O12:Q13"/>
    <mergeCell ref="O14:Q15"/>
    <mergeCell ref="M5:O6"/>
    <mergeCell ref="P5:R6"/>
    <mergeCell ref="N27:O27"/>
    <mergeCell ref="O18:Q19"/>
    <mergeCell ref="P27:R27"/>
    <mergeCell ref="N25:R26"/>
    <mergeCell ref="M22:N23"/>
    <mergeCell ref="R22:T23"/>
    <mergeCell ref="O20:Q21"/>
    <mergeCell ref="O16:Q17"/>
    <mergeCell ref="P28:R28"/>
    <mergeCell ref="P29:R29"/>
    <mergeCell ref="P30:R30"/>
    <mergeCell ref="L28:M28"/>
    <mergeCell ref="L29:M29"/>
    <mergeCell ref="L30:M30"/>
    <mergeCell ref="N28:O28"/>
    <mergeCell ref="N29:O29"/>
    <mergeCell ref="N30:O30"/>
    <mergeCell ref="L32:M32"/>
    <mergeCell ref="N32:O32"/>
    <mergeCell ref="P32:R32"/>
    <mergeCell ref="N31:O31"/>
    <mergeCell ref="P31:R31"/>
    <mergeCell ref="L31:M31"/>
  </mergeCells>
  <conditionalFormatting sqref="R12:T13">
    <cfRule type="cellIs" priority="1" dxfId="6" operator="notEqual" stopIfTrue="1">
      <formula>0</formula>
    </cfRule>
  </conditionalFormatting>
  <conditionalFormatting sqref="R14:T15">
    <cfRule type="cellIs" priority="2" dxfId="5" operator="notEqual" stopIfTrue="1">
      <formula>0</formula>
    </cfRule>
  </conditionalFormatting>
  <conditionalFormatting sqref="N28:R28">
    <cfRule type="cellIs" priority="3" dxfId="4" operator="greaterThan" stopIfTrue="1">
      <formula>1</formula>
    </cfRule>
  </conditionalFormatting>
  <conditionalFormatting sqref="N29:R29">
    <cfRule type="cellIs" priority="4" dxfId="3" operator="greaterThan" stopIfTrue="1">
      <formula>1</formula>
    </cfRule>
  </conditionalFormatting>
  <conditionalFormatting sqref="N30:R30">
    <cfRule type="cellIs" priority="5" dxfId="2" operator="greaterThan" stopIfTrue="1">
      <formula>1</formula>
    </cfRule>
  </conditionalFormatting>
  <conditionalFormatting sqref="N31:R31">
    <cfRule type="cellIs" priority="6" dxfId="1" operator="greaterThan" stopIfTrue="1">
      <formula>1</formula>
    </cfRule>
  </conditionalFormatting>
  <conditionalFormatting sqref="N32:R32">
    <cfRule type="cellIs" priority="7" dxfId="0" operator="greaterThan" stopIfTrue="1">
      <formula>1</formula>
    </cfRule>
  </conditionalFormatting>
  <printOptions/>
  <pageMargins left="0.35" right="0.64" top="0.89" bottom="0.58" header="0.23" footer="0.52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Q422"/>
  <sheetViews>
    <sheetView showGridLines="0" zoomScale="90" zoomScaleNormal="90" zoomScalePageLayoutView="0" workbookViewId="0" topLeftCell="P1">
      <selection activeCell="W9" sqref="W9:X9"/>
    </sheetView>
  </sheetViews>
  <sheetFormatPr defaultColWidth="9.140625" defaultRowHeight="12.75"/>
  <cols>
    <col min="1" max="1" width="2.7109375" style="0" customWidth="1"/>
    <col min="2" max="2" width="7.421875" style="0" customWidth="1"/>
    <col min="3" max="3" width="11.00390625" style="0" customWidth="1"/>
    <col min="4" max="4" width="8.7109375" style="0" customWidth="1"/>
    <col min="5" max="5" width="9.00390625" style="0" customWidth="1"/>
    <col min="6" max="6" width="6.57421875" style="0" customWidth="1"/>
    <col min="7" max="7" width="2.140625" style="0" customWidth="1"/>
    <col min="16" max="16" width="10.00390625" style="0" bestFit="1" customWidth="1"/>
    <col min="18" max="18" width="15.28125" style="0" bestFit="1" customWidth="1"/>
    <col min="19" max="19" width="11.57421875" style="0" customWidth="1"/>
    <col min="21" max="21" width="15.57421875" style="0" customWidth="1"/>
  </cols>
  <sheetData>
    <row r="1" spans="19:74" ht="6" customHeight="1" thickBot="1"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</row>
    <row r="2" spans="2:74" ht="24.75" customHeight="1" thickBot="1">
      <c r="B2" s="209" t="s">
        <v>7</v>
      </c>
      <c r="C2" s="210"/>
      <c r="D2" s="211"/>
      <c r="E2" s="19">
        <f>Grafico!P5</f>
        <v>1201</v>
      </c>
      <c r="F2" s="3" t="s">
        <v>6</v>
      </c>
      <c r="H2" s="215" t="s">
        <v>47</v>
      </c>
      <c r="I2" s="216"/>
      <c r="J2" s="217" t="s">
        <v>10</v>
      </c>
      <c r="K2" s="218"/>
      <c r="L2" s="205" t="s">
        <v>25</v>
      </c>
      <c r="M2" s="206"/>
      <c r="N2" s="203" t="s">
        <v>40</v>
      </c>
      <c r="O2" s="204"/>
      <c r="S2" s="45" t="s">
        <v>103</v>
      </c>
      <c r="T2" s="46">
        <f>T3</f>
        <v>1</v>
      </c>
      <c r="U2" s="57"/>
      <c r="V2" s="219" t="str">
        <f>IF(S9=FALSE,0,IF(T11&gt;0,"-----------Low Nox",0))</f>
        <v>-----------Low Nox</v>
      </c>
      <c r="W2" s="219"/>
      <c r="X2" s="219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4"/>
      <c r="BN2" s="44"/>
      <c r="BO2" s="44"/>
      <c r="BP2" s="44"/>
      <c r="BQ2" s="44"/>
      <c r="BR2" s="44"/>
      <c r="BS2" s="44"/>
      <c r="BT2" s="44"/>
      <c r="BU2" s="44"/>
      <c r="BV2" s="44"/>
    </row>
    <row r="3" spans="2:74" ht="24.75" customHeight="1" thickBot="1">
      <c r="B3" s="212" t="s">
        <v>8</v>
      </c>
      <c r="C3" s="213"/>
      <c r="D3" s="214"/>
      <c r="E3" s="20">
        <f>Grafico!P7</f>
        <v>5.5</v>
      </c>
      <c r="F3" s="2" t="s">
        <v>9</v>
      </c>
      <c r="H3" s="4"/>
      <c r="I3" s="5"/>
      <c r="J3" s="5"/>
      <c r="K3" s="6"/>
      <c r="L3" s="205"/>
      <c r="M3" s="206"/>
      <c r="N3" s="205"/>
      <c r="O3" s="206"/>
      <c r="S3" s="45"/>
      <c r="T3" s="45">
        <f>IF(L48&gt;0.998,1,L48)</f>
        <v>1</v>
      </c>
      <c r="U3" s="45"/>
      <c r="V3" s="167" t="s">
        <v>46</v>
      </c>
      <c r="W3" s="167"/>
      <c r="X3" s="167"/>
      <c r="Y3" s="167"/>
      <c r="Z3" s="167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4"/>
      <c r="BN3" s="44"/>
      <c r="BO3" s="44"/>
      <c r="BP3" s="44"/>
      <c r="BQ3" s="44"/>
      <c r="BR3" s="44"/>
      <c r="BS3" s="44"/>
      <c r="BT3" s="44"/>
      <c r="BU3" s="44"/>
      <c r="BV3" s="44"/>
    </row>
    <row r="4" spans="19:74" ht="13.5" thickBot="1">
      <c r="S4" s="45"/>
      <c r="T4" s="45"/>
      <c r="U4" s="45"/>
      <c r="V4" s="228"/>
      <c r="W4" s="228"/>
      <c r="X4" s="228"/>
      <c r="Y4" s="228"/>
      <c r="Z4" s="228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4"/>
      <c r="BN4" s="44"/>
      <c r="BO4" s="44"/>
      <c r="BP4" s="44"/>
      <c r="BQ4" s="44"/>
      <c r="BR4" s="44"/>
      <c r="BS4" s="44"/>
      <c r="BT4" s="44"/>
      <c r="BU4" s="44"/>
      <c r="BV4" s="44"/>
    </row>
    <row r="5" spans="4:74" ht="13.5" thickBot="1">
      <c r="D5" s="21"/>
      <c r="E5" s="21"/>
      <c r="F5" s="21"/>
      <c r="I5" s="21"/>
      <c r="J5" s="21"/>
      <c r="S5" s="45"/>
      <c r="T5" s="45"/>
      <c r="U5" s="45"/>
      <c r="V5" s="171" t="s">
        <v>45</v>
      </c>
      <c r="W5" s="172"/>
      <c r="X5" s="172"/>
      <c r="Y5" s="172"/>
      <c r="Z5" s="173"/>
      <c r="AA5" s="45"/>
      <c r="AB5" s="45"/>
      <c r="AC5" s="45"/>
      <c r="AD5" s="45"/>
      <c r="AE5" s="46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4"/>
      <c r="BN5" s="44"/>
      <c r="BO5" s="44"/>
      <c r="BP5" s="44"/>
      <c r="BQ5" s="44"/>
      <c r="BR5" s="44"/>
      <c r="BS5" s="44"/>
      <c r="BT5" s="44"/>
      <c r="BU5" s="44"/>
      <c r="BV5" s="44"/>
    </row>
    <row r="6" spans="19:74" ht="13.5" thickBot="1">
      <c r="S6" s="45"/>
      <c r="T6" s="45"/>
      <c r="U6" s="45"/>
      <c r="V6" s="174"/>
      <c r="W6" s="175"/>
      <c r="X6" s="175"/>
      <c r="Y6" s="175"/>
      <c r="Z6" s="176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4"/>
      <c r="BN6" s="44"/>
      <c r="BO6" s="44"/>
      <c r="BP6" s="44"/>
      <c r="BQ6" s="44"/>
      <c r="BR6" s="44"/>
      <c r="BS6" s="44"/>
      <c r="BT6" s="44"/>
      <c r="BU6" s="44"/>
      <c r="BV6" s="44"/>
    </row>
    <row r="7" spans="2:74" ht="11.25" customHeight="1" thickBot="1">
      <c r="B7" s="183" t="s">
        <v>0</v>
      </c>
      <c r="C7" s="184"/>
      <c r="D7" s="184"/>
      <c r="E7" s="185"/>
      <c r="F7" s="183" t="s">
        <v>1</v>
      </c>
      <c r="G7" s="184"/>
      <c r="H7" s="184"/>
      <c r="I7" s="184"/>
      <c r="J7" s="18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167" t="s">
        <v>86</v>
      </c>
      <c r="AN7" s="167"/>
      <c r="AO7" s="167"/>
      <c r="AP7" s="167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4"/>
      <c r="BN7" s="44"/>
      <c r="BO7" s="44"/>
      <c r="BP7" s="44"/>
      <c r="BQ7" s="44"/>
      <c r="BR7" s="44"/>
      <c r="BS7" s="44"/>
      <c r="BT7" s="44"/>
      <c r="BU7" s="44"/>
      <c r="BV7" s="44"/>
    </row>
    <row r="8" spans="2:74" ht="13.5" thickBot="1">
      <c r="B8" s="186"/>
      <c r="C8" s="187"/>
      <c r="D8" s="187"/>
      <c r="E8" s="188"/>
      <c r="F8" s="186"/>
      <c r="G8" s="187"/>
      <c r="H8" s="187"/>
      <c r="I8" s="187"/>
      <c r="J8" s="188"/>
      <c r="O8" s="44"/>
      <c r="P8" s="69"/>
      <c r="Q8" s="70"/>
      <c r="R8" s="44"/>
      <c r="S8" s="45"/>
      <c r="T8" s="45"/>
      <c r="U8" s="45"/>
      <c r="V8" s="45"/>
      <c r="W8" s="45">
        <v>1</v>
      </c>
      <c r="X8" s="45"/>
      <c r="Y8" s="45">
        <v>2</v>
      </c>
      <c r="Z8" s="45"/>
      <c r="AA8" s="45">
        <v>3</v>
      </c>
      <c r="AB8" s="45"/>
      <c r="AC8" s="45">
        <v>4</v>
      </c>
      <c r="AD8" s="45"/>
      <c r="AE8" s="45">
        <v>5</v>
      </c>
      <c r="AF8" s="45"/>
      <c r="AG8" s="45">
        <v>6</v>
      </c>
      <c r="AH8" s="45"/>
      <c r="AI8" s="45">
        <v>7</v>
      </c>
      <c r="AJ8" s="45"/>
      <c r="AK8" s="45">
        <v>8</v>
      </c>
      <c r="AL8" s="45"/>
      <c r="AM8" s="45">
        <v>9</v>
      </c>
      <c r="AN8" s="45"/>
      <c r="AO8" s="45">
        <v>10</v>
      </c>
      <c r="AP8" s="45"/>
      <c r="AQ8" s="45">
        <v>11</v>
      </c>
      <c r="AR8" s="45"/>
      <c r="AS8" s="45">
        <v>12</v>
      </c>
      <c r="AT8" s="45"/>
      <c r="AU8" s="45">
        <v>13</v>
      </c>
      <c r="AV8" s="45"/>
      <c r="AW8" s="45">
        <v>14</v>
      </c>
      <c r="AX8" s="45"/>
      <c r="AY8" s="45">
        <v>15</v>
      </c>
      <c r="AZ8" s="45"/>
      <c r="BA8" s="45">
        <v>16</v>
      </c>
      <c r="BB8" s="45"/>
      <c r="BC8" s="45">
        <v>17</v>
      </c>
      <c r="BD8" s="45"/>
      <c r="BE8" s="45">
        <v>18</v>
      </c>
      <c r="BF8" s="45"/>
      <c r="BG8" s="45">
        <v>19</v>
      </c>
      <c r="BH8" s="45"/>
      <c r="BI8" s="45">
        <v>20</v>
      </c>
      <c r="BJ8" s="45"/>
      <c r="BK8" s="45">
        <v>21</v>
      </c>
      <c r="BL8" s="45"/>
      <c r="BM8" s="44">
        <v>22</v>
      </c>
      <c r="BN8" s="44"/>
      <c r="BO8" s="44">
        <v>23</v>
      </c>
      <c r="BP8" s="44"/>
      <c r="BQ8" s="44">
        <v>24</v>
      </c>
      <c r="BR8" s="44"/>
      <c r="BS8" s="44">
        <v>25</v>
      </c>
      <c r="BT8" s="44"/>
      <c r="BU8" s="44"/>
      <c r="BV8" s="44"/>
    </row>
    <row r="9" spans="2:74" ht="13.5" thickBot="1">
      <c r="B9" s="189">
        <f>E2</f>
        <v>1201</v>
      </c>
      <c r="C9" s="190"/>
      <c r="D9" s="190"/>
      <c r="E9" s="191"/>
      <c r="F9" s="189">
        <f>E3</f>
        <v>5.5</v>
      </c>
      <c r="G9" s="190"/>
      <c r="H9" s="190"/>
      <c r="I9" s="190"/>
      <c r="J9" s="191"/>
      <c r="O9" s="44"/>
      <c r="P9" s="156" t="s">
        <v>137</v>
      </c>
      <c r="Q9" s="157"/>
      <c r="R9" s="44"/>
      <c r="S9" s="46" t="b">
        <v>1</v>
      </c>
      <c r="T9" s="45">
        <f>IF(S9=FALSE,S8,T10)</f>
        <v>13</v>
      </c>
      <c r="U9" s="208" t="str">
        <f>HLOOKUP(T9,W8:BR33,2)</f>
        <v>Blu 1500.1 </v>
      </c>
      <c r="V9" s="208"/>
      <c r="W9" s="168" t="s">
        <v>78</v>
      </c>
      <c r="X9" s="169"/>
      <c r="Y9" s="168" t="s">
        <v>79</v>
      </c>
      <c r="Z9" s="169"/>
      <c r="AA9" s="168" t="s">
        <v>80</v>
      </c>
      <c r="AB9" s="169"/>
      <c r="AC9" s="168" t="s">
        <v>81</v>
      </c>
      <c r="AD9" s="169"/>
      <c r="AE9" s="168" t="s">
        <v>82</v>
      </c>
      <c r="AF9" s="169"/>
      <c r="AG9" s="168" t="s">
        <v>83</v>
      </c>
      <c r="AH9" s="169"/>
      <c r="AI9" s="166" t="s">
        <v>190</v>
      </c>
      <c r="AJ9" s="166"/>
      <c r="AK9" s="166" t="s">
        <v>191</v>
      </c>
      <c r="AL9" s="166"/>
      <c r="AM9" s="166" t="s">
        <v>194</v>
      </c>
      <c r="AN9" s="166"/>
      <c r="AO9" s="166" t="s">
        <v>50</v>
      </c>
      <c r="AP9" s="166"/>
      <c r="AQ9" s="166" t="s">
        <v>51</v>
      </c>
      <c r="AR9" s="166"/>
      <c r="AS9" s="166" t="s">
        <v>98</v>
      </c>
      <c r="AT9" s="166"/>
      <c r="AU9" s="166" t="s">
        <v>99</v>
      </c>
      <c r="AV9" s="166"/>
      <c r="AW9" s="166" t="s">
        <v>52</v>
      </c>
      <c r="AX9" s="166"/>
      <c r="AY9" s="166" t="s">
        <v>53</v>
      </c>
      <c r="AZ9" s="166"/>
      <c r="BA9" s="166" t="s">
        <v>54</v>
      </c>
      <c r="BB9" s="166"/>
      <c r="BC9" s="166" t="s">
        <v>55</v>
      </c>
      <c r="BD9" s="166"/>
      <c r="BE9" s="166" t="s">
        <v>56</v>
      </c>
      <c r="BF9" s="166"/>
      <c r="BG9" s="166" t="s">
        <v>57</v>
      </c>
      <c r="BH9" s="166"/>
      <c r="BI9" s="166" t="s">
        <v>58</v>
      </c>
      <c r="BJ9" s="166"/>
      <c r="BK9" s="166" t="s">
        <v>59</v>
      </c>
      <c r="BL9" s="166"/>
      <c r="BM9" s="155" t="s">
        <v>61</v>
      </c>
      <c r="BN9" s="155"/>
      <c r="BO9" s="155" t="s">
        <v>60</v>
      </c>
      <c r="BP9" s="155"/>
      <c r="BQ9" s="155" t="s">
        <v>62</v>
      </c>
      <c r="BR9" s="155"/>
      <c r="BS9" s="155" t="s">
        <v>108</v>
      </c>
      <c r="BT9" s="155"/>
      <c r="BU9" s="44"/>
      <c r="BV9" s="44"/>
    </row>
    <row r="10" spans="2:74" ht="13.5" thickBot="1">
      <c r="B10" s="192"/>
      <c r="C10" s="193"/>
      <c r="D10" s="193"/>
      <c r="E10" s="194"/>
      <c r="F10" s="192"/>
      <c r="G10" s="193"/>
      <c r="H10" s="193"/>
      <c r="I10" s="193"/>
      <c r="J10" s="194"/>
      <c r="O10" s="44"/>
      <c r="P10" s="69" t="s">
        <v>112</v>
      </c>
      <c r="Q10" s="71" t="s">
        <v>113</v>
      </c>
      <c r="R10" s="44"/>
      <c r="S10" s="45"/>
      <c r="T10" s="45">
        <v>13</v>
      </c>
      <c r="U10" s="47" t="s">
        <v>5</v>
      </c>
      <c r="V10" s="47" t="s">
        <v>6</v>
      </c>
      <c r="W10" s="41" t="s">
        <v>5</v>
      </c>
      <c r="X10" s="41" t="s">
        <v>3</v>
      </c>
      <c r="Y10" s="41" t="s">
        <v>5</v>
      </c>
      <c r="Z10" s="41" t="s">
        <v>3</v>
      </c>
      <c r="AA10" s="41" t="s">
        <v>5</v>
      </c>
      <c r="AB10" s="41" t="s">
        <v>3</v>
      </c>
      <c r="AC10" s="41" t="s">
        <v>5</v>
      </c>
      <c r="AD10" s="41" t="s">
        <v>3</v>
      </c>
      <c r="AE10" s="41" t="s">
        <v>5</v>
      </c>
      <c r="AF10" s="41" t="s">
        <v>3</v>
      </c>
      <c r="AG10" s="41" t="s">
        <v>5</v>
      </c>
      <c r="AH10" s="41" t="s">
        <v>3</v>
      </c>
      <c r="AI10" s="30" t="s">
        <v>5</v>
      </c>
      <c r="AJ10" s="30" t="s">
        <v>3</v>
      </c>
      <c r="AK10" s="30" t="s">
        <v>5</v>
      </c>
      <c r="AL10" s="30" t="s">
        <v>3</v>
      </c>
      <c r="AM10" s="30" t="s">
        <v>5</v>
      </c>
      <c r="AN10" s="30" t="s">
        <v>3</v>
      </c>
      <c r="AO10" s="30" t="s">
        <v>5</v>
      </c>
      <c r="AP10" s="30" t="s">
        <v>3</v>
      </c>
      <c r="AQ10" s="30" t="s">
        <v>5</v>
      </c>
      <c r="AR10" s="30" t="s">
        <v>3</v>
      </c>
      <c r="AS10" s="30" t="s">
        <v>5</v>
      </c>
      <c r="AT10" s="30" t="s">
        <v>3</v>
      </c>
      <c r="AU10" s="30" t="s">
        <v>5</v>
      </c>
      <c r="AV10" s="30" t="s">
        <v>3</v>
      </c>
      <c r="AW10" s="30" t="s">
        <v>5</v>
      </c>
      <c r="AX10" s="30" t="s">
        <v>3</v>
      </c>
      <c r="AY10" s="30" t="s">
        <v>5</v>
      </c>
      <c r="AZ10" s="30" t="s">
        <v>3</v>
      </c>
      <c r="BA10" s="30" t="s">
        <v>5</v>
      </c>
      <c r="BB10" s="30" t="s">
        <v>3</v>
      </c>
      <c r="BC10" s="30" t="s">
        <v>5</v>
      </c>
      <c r="BD10" s="30" t="s">
        <v>3</v>
      </c>
      <c r="BE10" s="30" t="s">
        <v>5</v>
      </c>
      <c r="BF10" s="30" t="s">
        <v>3</v>
      </c>
      <c r="BG10" s="30" t="s">
        <v>5</v>
      </c>
      <c r="BH10" s="30" t="s">
        <v>3</v>
      </c>
      <c r="BI10" s="30" t="s">
        <v>5</v>
      </c>
      <c r="BJ10" s="30" t="s">
        <v>3</v>
      </c>
      <c r="BK10" s="30" t="s">
        <v>5</v>
      </c>
      <c r="BL10" s="30" t="s">
        <v>3</v>
      </c>
      <c r="BM10" s="42" t="s">
        <v>5</v>
      </c>
      <c r="BN10" s="42" t="s">
        <v>3</v>
      </c>
      <c r="BO10" s="42" t="s">
        <v>5</v>
      </c>
      <c r="BP10" s="42" t="s">
        <v>3</v>
      </c>
      <c r="BQ10" s="42" t="s">
        <v>5</v>
      </c>
      <c r="BR10" s="42" t="s">
        <v>3</v>
      </c>
      <c r="BS10" s="42" t="s">
        <v>5</v>
      </c>
      <c r="BT10" s="42" t="s">
        <v>3</v>
      </c>
      <c r="BU10" s="44"/>
      <c r="BV10" s="44"/>
    </row>
    <row r="11" spans="15:74" ht="13.5" thickBot="1">
      <c r="O11" s="44" t="s">
        <v>47</v>
      </c>
      <c r="P11" s="72">
        <f>VLOOKUP(T9,O24:R49,2)</f>
        <v>220</v>
      </c>
      <c r="Q11" s="72" t="str">
        <f>VLOOKUP(T9,O24:R49,3)</f>
        <v>340-540</v>
      </c>
      <c r="R11" s="44"/>
      <c r="S11" s="30">
        <f>HLOOKUP($T$9,$W$8:$BR$58,29)</f>
        <v>0</v>
      </c>
      <c r="T11" s="30">
        <f>HLOOKUP($T$9,$W$8:$BR$58,41)*T2</f>
        <v>1550</v>
      </c>
      <c r="U11" s="48">
        <f>HLOOKUP($T$9,$W$8:$BT$33,4)</f>
        <v>0</v>
      </c>
      <c r="V11" s="49">
        <f>HLOOKUP($T$9,$W$8:$BT$33,16)*T2</f>
        <v>1550</v>
      </c>
      <c r="W11" s="30">
        <v>0</v>
      </c>
      <c r="X11" s="30">
        <v>48</v>
      </c>
      <c r="Y11" s="30">
        <v>0</v>
      </c>
      <c r="Z11" s="30">
        <v>70</v>
      </c>
      <c r="AA11" s="30">
        <v>0</v>
      </c>
      <c r="AB11" s="30">
        <v>108</v>
      </c>
      <c r="AC11" s="30">
        <v>0</v>
      </c>
      <c r="AD11" s="30">
        <v>120</v>
      </c>
      <c r="AE11" s="30">
        <v>0</v>
      </c>
      <c r="AF11" s="30">
        <v>175</v>
      </c>
      <c r="AG11" s="30">
        <v>0</v>
      </c>
      <c r="AH11" s="30">
        <v>240</v>
      </c>
      <c r="AI11" s="31">
        <v>0</v>
      </c>
      <c r="AJ11" s="30">
        <v>350</v>
      </c>
      <c r="AK11" s="30">
        <v>0</v>
      </c>
      <c r="AL11" s="30">
        <v>500</v>
      </c>
      <c r="AM11" s="30">
        <v>0</v>
      </c>
      <c r="AN11" s="30">
        <v>500</v>
      </c>
      <c r="AO11" s="30">
        <v>0</v>
      </c>
      <c r="AP11" s="30">
        <v>700</v>
      </c>
      <c r="AQ11" s="30">
        <v>0</v>
      </c>
      <c r="AR11" s="30">
        <v>970</v>
      </c>
      <c r="AS11" s="30">
        <v>0</v>
      </c>
      <c r="AT11" s="30">
        <v>1200</v>
      </c>
      <c r="AU11" s="42">
        <v>0</v>
      </c>
      <c r="AV11" s="42">
        <v>1550</v>
      </c>
      <c r="AW11" s="30">
        <v>0</v>
      </c>
      <c r="AX11" s="30">
        <v>1770</v>
      </c>
      <c r="AY11" s="30">
        <v>0</v>
      </c>
      <c r="AZ11" s="30">
        <v>2150</v>
      </c>
      <c r="BA11" s="30">
        <v>0</v>
      </c>
      <c r="BB11" s="30">
        <v>3000</v>
      </c>
      <c r="BC11" s="30">
        <v>0</v>
      </c>
      <c r="BD11" s="30">
        <v>3900</v>
      </c>
      <c r="BE11" s="30">
        <v>0</v>
      </c>
      <c r="BF11" s="30">
        <v>5000</v>
      </c>
      <c r="BG11" s="30">
        <v>0</v>
      </c>
      <c r="BH11" s="30">
        <v>5800</v>
      </c>
      <c r="BI11" s="30">
        <v>0</v>
      </c>
      <c r="BJ11" s="30">
        <v>7500</v>
      </c>
      <c r="BK11" s="30">
        <v>0</v>
      </c>
      <c r="BL11" s="30">
        <v>8500</v>
      </c>
      <c r="BM11" s="30">
        <v>0</v>
      </c>
      <c r="BN11" s="30">
        <v>10500</v>
      </c>
      <c r="BO11" s="42">
        <v>0</v>
      </c>
      <c r="BP11" s="42">
        <v>13100</v>
      </c>
      <c r="BQ11" s="30">
        <v>0</v>
      </c>
      <c r="BR11" s="30">
        <v>15000</v>
      </c>
      <c r="BS11" s="30">
        <v>0</v>
      </c>
      <c r="BT11" s="30">
        <v>17000</v>
      </c>
      <c r="BU11" s="44"/>
      <c r="BV11" s="44"/>
    </row>
    <row r="12" spans="2:74" ht="13.5" thickBot="1">
      <c r="B12" t="s">
        <v>4</v>
      </c>
      <c r="O12" s="44" t="s">
        <v>138</v>
      </c>
      <c r="P12" s="73" t="e">
        <f>N88</f>
        <v>#N/A</v>
      </c>
      <c r="Q12" s="72" t="e">
        <f>O88</f>
        <v>#N/A</v>
      </c>
      <c r="R12" s="44"/>
      <c r="S12" s="30">
        <f>HLOOKUP($T$9,$W$8:$BR$58,30)</f>
        <v>2</v>
      </c>
      <c r="T12" s="30">
        <f>HLOOKUP($T$9,$W$8:$BR$58,42)*T2</f>
        <v>1550</v>
      </c>
      <c r="U12" s="48">
        <f>HLOOKUP(T$9,W$8:BT$33,5)</f>
        <v>2</v>
      </c>
      <c r="V12" s="49">
        <f>HLOOKUP($T$9,$W$8:$BT$33,17)*T2</f>
        <v>1550</v>
      </c>
      <c r="W12" s="30">
        <v>0.5</v>
      </c>
      <c r="X12" s="30">
        <v>48</v>
      </c>
      <c r="Y12" s="30">
        <v>0.5</v>
      </c>
      <c r="Z12" s="30">
        <v>70</v>
      </c>
      <c r="AA12" s="30">
        <v>0.5</v>
      </c>
      <c r="AB12" s="30">
        <v>106</v>
      </c>
      <c r="AC12" s="30">
        <v>0.5</v>
      </c>
      <c r="AD12" s="30">
        <v>116</v>
      </c>
      <c r="AE12" s="30">
        <v>0.8</v>
      </c>
      <c r="AF12" s="30">
        <v>170</v>
      </c>
      <c r="AG12" s="30">
        <v>0.5</v>
      </c>
      <c r="AH12" s="30">
        <v>235</v>
      </c>
      <c r="AI12" s="31">
        <v>1.5</v>
      </c>
      <c r="AJ12" s="30">
        <v>350</v>
      </c>
      <c r="AK12" s="30">
        <v>2.5</v>
      </c>
      <c r="AL12" s="30">
        <v>500</v>
      </c>
      <c r="AM12" s="30">
        <v>2.5</v>
      </c>
      <c r="AN12" s="30">
        <v>500</v>
      </c>
      <c r="AO12" s="30">
        <v>2.8</v>
      </c>
      <c r="AP12" s="30">
        <v>700</v>
      </c>
      <c r="AQ12" s="30">
        <v>1</v>
      </c>
      <c r="AR12" s="30">
        <v>970</v>
      </c>
      <c r="AS12" s="30">
        <v>1</v>
      </c>
      <c r="AT12" s="30">
        <v>1200</v>
      </c>
      <c r="AU12" s="42">
        <v>2</v>
      </c>
      <c r="AV12" s="42">
        <v>1550</v>
      </c>
      <c r="AW12" s="30">
        <v>10</v>
      </c>
      <c r="AX12" s="30">
        <v>1500</v>
      </c>
      <c r="AY12" s="30">
        <v>11</v>
      </c>
      <c r="AZ12" s="30">
        <v>1750</v>
      </c>
      <c r="BA12" s="30">
        <v>13</v>
      </c>
      <c r="BB12" s="30">
        <v>2400</v>
      </c>
      <c r="BC12" s="30">
        <v>2.5</v>
      </c>
      <c r="BD12" s="30">
        <v>3800</v>
      </c>
      <c r="BE12" s="30">
        <v>18</v>
      </c>
      <c r="BF12" s="30">
        <v>3500</v>
      </c>
      <c r="BG12" s="30">
        <v>20</v>
      </c>
      <c r="BH12" s="30">
        <v>4350</v>
      </c>
      <c r="BI12" s="30">
        <v>4</v>
      </c>
      <c r="BJ12" s="30">
        <v>7500</v>
      </c>
      <c r="BK12" s="30">
        <v>10</v>
      </c>
      <c r="BL12" s="30">
        <v>8250</v>
      </c>
      <c r="BM12" s="30">
        <v>15</v>
      </c>
      <c r="BN12" s="30">
        <v>9000</v>
      </c>
      <c r="BO12" s="42">
        <v>24</v>
      </c>
      <c r="BP12" s="42">
        <v>10500</v>
      </c>
      <c r="BQ12" s="30">
        <v>6</v>
      </c>
      <c r="BR12" s="30">
        <v>15000</v>
      </c>
      <c r="BS12" s="30">
        <v>8</v>
      </c>
      <c r="BT12" s="30">
        <v>17000</v>
      </c>
      <c r="BU12" s="44"/>
      <c r="BV12" s="44"/>
    </row>
    <row r="13" spans="2:74" ht="13.5" thickBot="1">
      <c r="B13" t="s">
        <v>2</v>
      </c>
      <c r="C13" t="s">
        <v>3</v>
      </c>
      <c r="O13" s="44" t="s">
        <v>139</v>
      </c>
      <c r="P13" s="72" t="e">
        <f>Q152</f>
        <v>#N/A</v>
      </c>
      <c r="Q13" s="74" t="e">
        <f>R152</f>
        <v>#N/A</v>
      </c>
      <c r="R13" s="44"/>
      <c r="S13" s="30">
        <f>HLOOKUP($T$9,$W$8:$BR$58,31)</f>
        <v>10</v>
      </c>
      <c r="T13" s="30">
        <f>HLOOKUP($T$9,$W$8:$BR$58,43)*T2</f>
        <v>1350</v>
      </c>
      <c r="U13" s="48">
        <f>HLOOKUP(T$9,W$8:BT$33,6)</f>
        <v>10</v>
      </c>
      <c r="V13" s="49">
        <f>HLOOKUP($T$9,$W$8:$BT$33,18)*T2</f>
        <v>1350</v>
      </c>
      <c r="W13" s="30">
        <v>2.5</v>
      </c>
      <c r="X13" s="30">
        <v>40</v>
      </c>
      <c r="Y13" s="30">
        <v>3</v>
      </c>
      <c r="Z13" s="30">
        <v>60</v>
      </c>
      <c r="AA13" s="30">
        <v>3.5</v>
      </c>
      <c r="AB13" s="30">
        <v>84</v>
      </c>
      <c r="AC13" s="30">
        <v>3.5</v>
      </c>
      <c r="AD13" s="30">
        <v>84</v>
      </c>
      <c r="AE13" s="30">
        <v>5</v>
      </c>
      <c r="AF13" s="30">
        <v>135</v>
      </c>
      <c r="AG13" s="30">
        <v>5</v>
      </c>
      <c r="AH13" s="30">
        <v>165</v>
      </c>
      <c r="AI13" s="31">
        <v>6</v>
      </c>
      <c r="AJ13" s="30">
        <v>260</v>
      </c>
      <c r="AK13" s="30">
        <v>7.5</v>
      </c>
      <c r="AL13" s="30">
        <v>390</v>
      </c>
      <c r="AM13" s="30">
        <v>6.5</v>
      </c>
      <c r="AN13" s="30">
        <v>420</v>
      </c>
      <c r="AO13" s="30">
        <v>7</v>
      </c>
      <c r="AP13" s="30">
        <v>600</v>
      </c>
      <c r="AQ13" s="30">
        <v>8</v>
      </c>
      <c r="AR13" s="30">
        <v>770</v>
      </c>
      <c r="AS13" s="30">
        <v>8.5</v>
      </c>
      <c r="AT13" s="30">
        <v>930</v>
      </c>
      <c r="AU13" s="42">
        <v>10</v>
      </c>
      <c r="AV13" s="42">
        <v>1350</v>
      </c>
      <c r="AW13" s="30">
        <v>10</v>
      </c>
      <c r="AX13" s="30">
        <v>700</v>
      </c>
      <c r="AY13" s="30">
        <v>11</v>
      </c>
      <c r="AZ13" s="30">
        <v>900</v>
      </c>
      <c r="BA13" s="30">
        <v>13</v>
      </c>
      <c r="BB13" s="30">
        <v>1600</v>
      </c>
      <c r="BC13" s="30">
        <v>15</v>
      </c>
      <c r="BD13" s="30">
        <v>2900</v>
      </c>
      <c r="BE13" s="30">
        <v>18</v>
      </c>
      <c r="BF13" s="30">
        <v>1600</v>
      </c>
      <c r="BG13" s="30">
        <v>20</v>
      </c>
      <c r="BH13" s="30">
        <v>2125</v>
      </c>
      <c r="BI13" s="30">
        <v>22</v>
      </c>
      <c r="BJ13" s="30">
        <v>5200</v>
      </c>
      <c r="BK13" s="30">
        <v>14.5</v>
      </c>
      <c r="BL13" s="30">
        <v>8000</v>
      </c>
      <c r="BM13" s="30">
        <v>28</v>
      </c>
      <c r="BN13" s="30">
        <v>7250</v>
      </c>
      <c r="BO13" s="42">
        <v>34</v>
      </c>
      <c r="BP13" s="42">
        <v>8800</v>
      </c>
      <c r="BQ13" s="30">
        <v>30</v>
      </c>
      <c r="BR13" s="30">
        <v>12200</v>
      </c>
      <c r="BS13" s="30">
        <v>32</v>
      </c>
      <c r="BT13" s="30">
        <v>13900</v>
      </c>
      <c r="BU13" s="44"/>
      <c r="BV13" s="44"/>
    </row>
    <row r="14" spans="2:74" ht="13.5" thickBot="1">
      <c r="B14">
        <v>-0.03</v>
      </c>
      <c r="C14">
        <f>B9</f>
        <v>1201</v>
      </c>
      <c r="O14" s="44" t="s">
        <v>72</v>
      </c>
      <c r="P14" s="72" t="e">
        <f>P199</f>
        <v>#N/A</v>
      </c>
      <c r="Q14" s="72" t="e">
        <f>Q199</f>
        <v>#N/A</v>
      </c>
      <c r="R14" s="44"/>
      <c r="S14" s="30">
        <f>HLOOKUP($T$9,$W$8:$BR$58,32)</f>
        <v>10</v>
      </c>
      <c r="T14" s="30">
        <f>HLOOKUP($T$9,$W$8:$BR$58,44)*T2</f>
        <v>750</v>
      </c>
      <c r="U14" s="48">
        <f>HLOOKUP(T$9,W$8:BT$33,7)</f>
        <v>10</v>
      </c>
      <c r="V14" s="49">
        <f>HLOOKUP($T$9,$W$8:$BT$33,19)*T2</f>
        <v>700</v>
      </c>
      <c r="W14" s="30">
        <v>2.5</v>
      </c>
      <c r="X14" s="30">
        <v>20</v>
      </c>
      <c r="Y14" s="30">
        <v>3</v>
      </c>
      <c r="Z14" s="30">
        <v>40</v>
      </c>
      <c r="AA14" s="30">
        <v>3.5</v>
      </c>
      <c r="AB14" s="30">
        <v>70</v>
      </c>
      <c r="AC14" s="30">
        <v>3.5</v>
      </c>
      <c r="AD14" s="30">
        <v>70</v>
      </c>
      <c r="AE14" s="30">
        <v>5</v>
      </c>
      <c r="AF14" s="30">
        <v>95</v>
      </c>
      <c r="AG14" s="30">
        <v>5</v>
      </c>
      <c r="AH14" s="30">
        <v>95</v>
      </c>
      <c r="AI14" s="31">
        <v>6</v>
      </c>
      <c r="AJ14" s="30">
        <v>180</v>
      </c>
      <c r="AK14" s="30">
        <v>7.5</v>
      </c>
      <c r="AL14" s="30">
        <v>220</v>
      </c>
      <c r="AM14" s="30">
        <v>6.5</v>
      </c>
      <c r="AN14" s="30">
        <v>250</v>
      </c>
      <c r="AO14" s="30">
        <v>7</v>
      </c>
      <c r="AP14" s="30">
        <v>340</v>
      </c>
      <c r="AQ14" s="30">
        <v>8</v>
      </c>
      <c r="AR14" s="30">
        <v>440</v>
      </c>
      <c r="AS14" s="30">
        <v>8.5</v>
      </c>
      <c r="AT14" s="30">
        <v>525</v>
      </c>
      <c r="AU14" s="42">
        <v>10</v>
      </c>
      <c r="AV14" s="42">
        <v>700</v>
      </c>
      <c r="AW14" s="30">
        <v>6</v>
      </c>
      <c r="AX14" s="30">
        <v>342</v>
      </c>
      <c r="AY14" s="30">
        <v>5.5</v>
      </c>
      <c r="AZ14" s="30">
        <v>414</v>
      </c>
      <c r="BA14" s="30">
        <v>6</v>
      </c>
      <c r="BB14" s="30">
        <v>630</v>
      </c>
      <c r="BC14" s="30">
        <v>15</v>
      </c>
      <c r="BD14" s="30">
        <v>2100</v>
      </c>
      <c r="BE14" s="30">
        <v>6</v>
      </c>
      <c r="BF14" s="30">
        <v>1200</v>
      </c>
      <c r="BG14" s="30">
        <v>12</v>
      </c>
      <c r="BH14" s="30">
        <v>1500</v>
      </c>
      <c r="BI14" s="30">
        <v>22</v>
      </c>
      <c r="BJ14" s="30">
        <v>2750</v>
      </c>
      <c r="BK14" s="30">
        <v>24</v>
      </c>
      <c r="BL14" s="30">
        <v>6500</v>
      </c>
      <c r="BM14" s="30">
        <v>28</v>
      </c>
      <c r="BN14" s="30">
        <v>4800</v>
      </c>
      <c r="BO14" s="42">
        <v>34</v>
      </c>
      <c r="BP14" s="42">
        <v>5250</v>
      </c>
      <c r="BQ14" s="30">
        <v>36</v>
      </c>
      <c r="BR14" s="30">
        <v>11000</v>
      </c>
      <c r="BS14" s="30">
        <v>38</v>
      </c>
      <c r="BT14" s="30">
        <v>12900</v>
      </c>
      <c r="BU14" s="44"/>
      <c r="BV14" s="44"/>
    </row>
    <row r="15" spans="2:74" ht="13.5" thickBot="1">
      <c r="B15">
        <f>F9</f>
        <v>5.5</v>
      </c>
      <c r="C15">
        <f>B9</f>
        <v>1201</v>
      </c>
      <c r="O15" s="44" t="s">
        <v>74</v>
      </c>
      <c r="P15" s="83" t="e">
        <f>O261</f>
        <v>#N/A</v>
      </c>
      <c r="Q15" s="72" t="e">
        <f>P261</f>
        <v>#N/A</v>
      </c>
      <c r="S15" s="30">
        <f>HLOOKUP($T$9,$W$8:$BR$58,33)</f>
        <v>6</v>
      </c>
      <c r="T15" s="30">
        <f>HLOOKUP($T$9,$W$8:$BR$58,45)*T2</f>
        <v>500</v>
      </c>
      <c r="U15" s="48">
        <f>HLOOKUP(T$9,W$8:BT$33,8)</f>
        <v>6</v>
      </c>
      <c r="V15" s="49">
        <f>HLOOKUP($T$9,$W$8:$BT$33,20)*T2</f>
        <v>350</v>
      </c>
      <c r="W15" s="30">
        <v>0</v>
      </c>
      <c r="X15" s="30">
        <v>17</v>
      </c>
      <c r="Y15" s="30">
        <v>0</v>
      </c>
      <c r="Z15" s="30">
        <v>34</v>
      </c>
      <c r="AA15" s="30">
        <v>0</v>
      </c>
      <c r="AB15" s="30">
        <v>48</v>
      </c>
      <c r="AC15" s="30">
        <v>0</v>
      </c>
      <c r="AD15" s="30">
        <v>48</v>
      </c>
      <c r="AE15" s="30">
        <v>0</v>
      </c>
      <c r="AF15" s="30">
        <v>55</v>
      </c>
      <c r="AG15" s="30">
        <v>0</v>
      </c>
      <c r="AH15" s="30">
        <v>55</v>
      </c>
      <c r="AI15" s="31">
        <v>0</v>
      </c>
      <c r="AJ15" s="30">
        <v>70</v>
      </c>
      <c r="AK15" s="30">
        <v>0</v>
      </c>
      <c r="AL15" s="30">
        <v>70</v>
      </c>
      <c r="AM15" s="30">
        <v>3.5</v>
      </c>
      <c r="AN15" s="30">
        <v>180</v>
      </c>
      <c r="AO15" s="30">
        <v>3</v>
      </c>
      <c r="AP15" s="30">
        <v>225</v>
      </c>
      <c r="AQ15" s="30">
        <v>2.3</v>
      </c>
      <c r="AR15" s="30">
        <v>260</v>
      </c>
      <c r="AS15" s="30">
        <v>1.5</v>
      </c>
      <c r="AT15" s="30">
        <v>260</v>
      </c>
      <c r="AU15" s="42">
        <v>6</v>
      </c>
      <c r="AV15" s="42">
        <v>350</v>
      </c>
      <c r="AW15" s="30">
        <v>0</v>
      </c>
      <c r="AX15" s="30">
        <v>342</v>
      </c>
      <c r="AY15" s="30">
        <v>0</v>
      </c>
      <c r="AZ15" s="30">
        <v>414</v>
      </c>
      <c r="BA15" s="30">
        <v>0</v>
      </c>
      <c r="BB15" s="30">
        <v>630</v>
      </c>
      <c r="BC15" s="30">
        <v>6.8</v>
      </c>
      <c r="BD15" s="30">
        <v>875</v>
      </c>
      <c r="BE15" s="30">
        <v>0</v>
      </c>
      <c r="BF15" s="30">
        <v>1200</v>
      </c>
      <c r="BG15" s="30">
        <v>0</v>
      </c>
      <c r="BH15" s="30">
        <v>1500</v>
      </c>
      <c r="BI15" s="30">
        <v>12</v>
      </c>
      <c r="BJ15" s="30">
        <v>1500</v>
      </c>
      <c r="BK15" s="30">
        <v>24</v>
      </c>
      <c r="BL15" s="30">
        <v>6500</v>
      </c>
      <c r="BM15" s="30">
        <v>12</v>
      </c>
      <c r="BN15" s="30">
        <v>2500</v>
      </c>
      <c r="BO15" s="42">
        <v>15</v>
      </c>
      <c r="BP15" s="42">
        <v>2700</v>
      </c>
      <c r="BQ15" s="30">
        <v>36</v>
      </c>
      <c r="BR15" s="30">
        <v>7000</v>
      </c>
      <c r="BS15" s="30">
        <v>38</v>
      </c>
      <c r="BT15" s="30">
        <v>8000</v>
      </c>
      <c r="BU15" s="44"/>
      <c r="BV15" s="44"/>
    </row>
    <row r="16" spans="2:74" ht="13.5" thickBot="1">
      <c r="B16">
        <f>F9</f>
        <v>5.5</v>
      </c>
      <c r="C16">
        <v>0</v>
      </c>
      <c r="S16" s="30">
        <f>HLOOKUP($T$9,$W$8:$BR$58,34)</f>
        <v>0</v>
      </c>
      <c r="T16" s="30">
        <f>HLOOKUP($T$9,$W$8:$BR$58,46)*T2</f>
        <v>380</v>
      </c>
      <c r="U16" s="48">
        <f>HLOOKUP(T$9,W$8:BT$33,9)</f>
        <v>0</v>
      </c>
      <c r="V16" s="49">
        <f>HLOOKUP($T$9,$W$8:$BT$33,21)*T2</f>
        <v>350</v>
      </c>
      <c r="W16" s="30">
        <v>0</v>
      </c>
      <c r="X16" s="30">
        <v>48</v>
      </c>
      <c r="Y16" s="30">
        <v>0</v>
      </c>
      <c r="Z16" s="30">
        <v>70</v>
      </c>
      <c r="AA16" s="30">
        <v>0</v>
      </c>
      <c r="AB16" s="30">
        <v>108</v>
      </c>
      <c r="AC16" s="30">
        <v>0</v>
      </c>
      <c r="AD16" s="30">
        <v>120</v>
      </c>
      <c r="AE16" s="30">
        <v>0</v>
      </c>
      <c r="AF16" s="30">
        <v>175</v>
      </c>
      <c r="AG16" s="30">
        <v>0</v>
      </c>
      <c r="AH16" s="30">
        <v>240</v>
      </c>
      <c r="AI16" s="31">
        <v>0</v>
      </c>
      <c r="AJ16" s="30">
        <v>350</v>
      </c>
      <c r="AK16" s="30">
        <v>0</v>
      </c>
      <c r="AL16" s="30">
        <v>500</v>
      </c>
      <c r="AM16" s="30">
        <v>0</v>
      </c>
      <c r="AN16" s="30">
        <v>180</v>
      </c>
      <c r="AO16" s="30">
        <v>0</v>
      </c>
      <c r="AP16" s="30">
        <v>225</v>
      </c>
      <c r="AQ16" s="30">
        <v>0</v>
      </c>
      <c r="AR16" s="30">
        <v>245</v>
      </c>
      <c r="AS16" s="30">
        <v>0</v>
      </c>
      <c r="AT16" s="30">
        <v>260</v>
      </c>
      <c r="AU16" s="42">
        <v>0</v>
      </c>
      <c r="AV16" s="42">
        <v>350</v>
      </c>
      <c r="AW16" s="30">
        <v>0</v>
      </c>
      <c r="AX16" s="30">
        <v>1770</v>
      </c>
      <c r="AY16" s="30">
        <v>0</v>
      </c>
      <c r="AZ16" s="30">
        <v>2150</v>
      </c>
      <c r="BA16" s="30">
        <v>0</v>
      </c>
      <c r="BB16" s="30">
        <v>3000</v>
      </c>
      <c r="BC16" s="30">
        <v>0</v>
      </c>
      <c r="BD16" s="30">
        <v>875</v>
      </c>
      <c r="BE16" s="30">
        <v>0</v>
      </c>
      <c r="BF16" s="30">
        <v>5000</v>
      </c>
      <c r="BG16" s="30">
        <v>0</v>
      </c>
      <c r="BH16" s="30">
        <v>5800</v>
      </c>
      <c r="BI16" s="30">
        <v>0</v>
      </c>
      <c r="BJ16" s="30">
        <v>1500</v>
      </c>
      <c r="BK16" s="30">
        <v>24</v>
      </c>
      <c r="BL16" s="30">
        <v>3750</v>
      </c>
      <c r="BM16" s="30">
        <v>0</v>
      </c>
      <c r="BN16" s="30">
        <v>2500</v>
      </c>
      <c r="BO16" s="42">
        <v>0</v>
      </c>
      <c r="BP16" s="42">
        <v>2700</v>
      </c>
      <c r="BQ16" s="30">
        <v>17</v>
      </c>
      <c r="BR16" s="30">
        <v>3700</v>
      </c>
      <c r="BS16" s="30">
        <v>17</v>
      </c>
      <c r="BT16" s="30">
        <v>4000</v>
      </c>
      <c r="BU16" s="44"/>
      <c r="BV16" s="44"/>
    </row>
    <row r="17" spans="19:74" ht="13.5" thickBot="1">
      <c r="S17" s="30">
        <f>HLOOKUP($T$9,$W$8:$BR$58,35)</f>
        <v>0</v>
      </c>
      <c r="T17" s="30">
        <f>HLOOKUP($T$9,$W$8:$BR$58,47)*T2</f>
        <v>1550</v>
      </c>
      <c r="U17" s="48">
        <f>HLOOKUP(T$9,W$8:BT$33,10)</f>
        <v>0</v>
      </c>
      <c r="V17" s="49">
        <f>HLOOKUP($T$9,$W$8:$BT$33,22)*T2</f>
        <v>1550</v>
      </c>
      <c r="W17" s="30">
        <v>0</v>
      </c>
      <c r="X17" s="30">
        <v>48</v>
      </c>
      <c r="Y17" s="30">
        <v>0</v>
      </c>
      <c r="Z17" s="30">
        <v>70</v>
      </c>
      <c r="AA17" s="30">
        <v>0</v>
      </c>
      <c r="AB17" s="30">
        <v>108</v>
      </c>
      <c r="AC17" s="30">
        <v>0</v>
      </c>
      <c r="AD17" s="30">
        <v>120</v>
      </c>
      <c r="AE17" s="30">
        <v>0</v>
      </c>
      <c r="AF17" s="30">
        <v>175</v>
      </c>
      <c r="AG17" s="30">
        <v>0</v>
      </c>
      <c r="AH17" s="30">
        <v>240</v>
      </c>
      <c r="AI17" s="31">
        <v>0</v>
      </c>
      <c r="AJ17" s="30">
        <v>350</v>
      </c>
      <c r="AK17" s="30">
        <v>0</v>
      </c>
      <c r="AL17" s="30">
        <v>500</v>
      </c>
      <c r="AM17" s="30">
        <v>0</v>
      </c>
      <c r="AN17" s="30">
        <v>500</v>
      </c>
      <c r="AO17" s="30">
        <v>0</v>
      </c>
      <c r="AP17" s="30">
        <v>700</v>
      </c>
      <c r="AQ17" s="30">
        <v>0</v>
      </c>
      <c r="AR17" s="30">
        <v>970</v>
      </c>
      <c r="AS17" s="30">
        <v>0</v>
      </c>
      <c r="AT17" s="30">
        <v>1200</v>
      </c>
      <c r="AU17" s="42">
        <v>0</v>
      </c>
      <c r="AV17" s="42">
        <v>1550</v>
      </c>
      <c r="AW17" s="30">
        <v>0</v>
      </c>
      <c r="AX17" s="30">
        <v>1770</v>
      </c>
      <c r="AY17" s="30">
        <v>0</v>
      </c>
      <c r="AZ17" s="30">
        <v>2150</v>
      </c>
      <c r="BA17" s="30">
        <v>0</v>
      </c>
      <c r="BB17" s="30">
        <v>3000</v>
      </c>
      <c r="BC17" s="30">
        <v>0</v>
      </c>
      <c r="BD17" s="30">
        <v>3900</v>
      </c>
      <c r="BE17" s="30">
        <v>0</v>
      </c>
      <c r="BF17" s="30">
        <v>5000</v>
      </c>
      <c r="BG17" s="30">
        <v>0</v>
      </c>
      <c r="BH17" s="30">
        <v>5800</v>
      </c>
      <c r="BI17" s="30">
        <v>0</v>
      </c>
      <c r="BJ17" s="30">
        <v>7250</v>
      </c>
      <c r="BK17" s="30">
        <v>12</v>
      </c>
      <c r="BL17" s="30">
        <v>2000</v>
      </c>
      <c r="BM17" s="30">
        <v>0</v>
      </c>
      <c r="BN17" s="30">
        <v>10500</v>
      </c>
      <c r="BO17" s="42">
        <v>0</v>
      </c>
      <c r="BP17" s="42">
        <v>13100</v>
      </c>
      <c r="BQ17" s="30">
        <v>0</v>
      </c>
      <c r="BR17" s="30">
        <v>3700</v>
      </c>
      <c r="BS17" s="30">
        <v>0</v>
      </c>
      <c r="BT17" s="30">
        <v>4000</v>
      </c>
      <c r="BU17" s="44"/>
      <c r="BV17" s="44"/>
    </row>
    <row r="18" spans="14:74" ht="13.5" thickBot="1">
      <c r="N18" s="82"/>
      <c r="S18" s="30">
        <f>HLOOKUP($T$9,$W$8:$BR$58,36)</f>
        <v>0</v>
      </c>
      <c r="T18" s="30">
        <f>HLOOKUP($T$9,$W$8:$BR$58,48)*T2</f>
        <v>1550</v>
      </c>
      <c r="U18" s="48">
        <f>HLOOKUP(T$9,W$8:BT$33,11)</f>
        <v>0</v>
      </c>
      <c r="V18" s="49">
        <f>HLOOKUP($T$9,$W$8:$BT$33,23)*T2</f>
        <v>1550</v>
      </c>
      <c r="W18" s="30">
        <v>0</v>
      </c>
      <c r="X18" s="30">
        <v>48</v>
      </c>
      <c r="Y18" s="30">
        <v>0</v>
      </c>
      <c r="Z18" s="30">
        <v>70</v>
      </c>
      <c r="AA18" s="30">
        <v>0</v>
      </c>
      <c r="AB18" s="30">
        <v>108</v>
      </c>
      <c r="AC18" s="30">
        <v>0</v>
      </c>
      <c r="AD18" s="30">
        <v>120</v>
      </c>
      <c r="AE18" s="30">
        <v>0</v>
      </c>
      <c r="AF18" s="30">
        <v>175</v>
      </c>
      <c r="AG18" s="30">
        <v>0</v>
      </c>
      <c r="AH18" s="30">
        <v>240</v>
      </c>
      <c r="AI18" s="31">
        <v>0</v>
      </c>
      <c r="AJ18" s="30">
        <v>350</v>
      </c>
      <c r="AK18" s="30">
        <v>0</v>
      </c>
      <c r="AL18" s="30">
        <v>500</v>
      </c>
      <c r="AM18" s="30"/>
      <c r="AN18" s="30"/>
      <c r="AO18" s="30">
        <v>0</v>
      </c>
      <c r="AP18" s="30">
        <v>700</v>
      </c>
      <c r="AQ18" s="30">
        <v>0</v>
      </c>
      <c r="AR18" s="30">
        <v>970</v>
      </c>
      <c r="AS18" s="30">
        <v>0</v>
      </c>
      <c r="AT18" s="30">
        <v>1200</v>
      </c>
      <c r="AU18" s="42">
        <v>0</v>
      </c>
      <c r="AV18" s="42">
        <v>1550</v>
      </c>
      <c r="AW18" s="30">
        <v>0</v>
      </c>
      <c r="AX18" s="30">
        <v>1770</v>
      </c>
      <c r="AY18" s="30">
        <v>0</v>
      </c>
      <c r="AZ18" s="30">
        <v>2150</v>
      </c>
      <c r="BA18" s="30">
        <v>0</v>
      </c>
      <c r="BB18" s="30">
        <v>3000</v>
      </c>
      <c r="BC18" s="30">
        <v>0</v>
      </c>
      <c r="BD18" s="30">
        <v>3900</v>
      </c>
      <c r="BE18" s="30">
        <v>0</v>
      </c>
      <c r="BF18" s="30">
        <v>5000</v>
      </c>
      <c r="BG18" s="30">
        <v>0</v>
      </c>
      <c r="BH18" s="30">
        <v>5800</v>
      </c>
      <c r="BI18" s="30">
        <v>0</v>
      </c>
      <c r="BJ18" s="30">
        <v>7250</v>
      </c>
      <c r="BK18" s="30">
        <v>0</v>
      </c>
      <c r="BL18" s="30">
        <v>2000</v>
      </c>
      <c r="BM18" s="30">
        <v>0</v>
      </c>
      <c r="BN18" s="30">
        <v>10500</v>
      </c>
      <c r="BO18" s="42">
        <v>0</v>
      </c>
      <c r="BP18" s="42">
        <v>13100</v>
      </c>
      <c r="BQ18" s="30">
        <v>0</v>
      </c>
      <c r="BR18" s="30">
        <v>15000</v>
      </c>
      <c r="BS18" s="30">
        <v>0</v>
      </c>
      <c r="BT18" s="30">
        <v>17000</v>
      </c>
      <c r="BU18" s="44"/>
      <c r="BV18" s="44"/>
    </row>
    <row r="19" spans="19:74" ht="13.5" thickBot="1">
      <c r="S19" s="30">
        <f>HLOOKUP($T$9,$W$8:$BR$58,37)</f>
        <v>0</v>
      </c>
      <c r="T19" s="30">
        <f>HLOOKUP($T$9,$W$8:$BR$58,49)*T2</f>
        <v>1550</v>
      </c>
      <c r="U19" s="48">
        <f>HLOOKUP(T$9,W$8:BT$33,12)</f>
        <v>0</v>
      </c>
      <c r="V19" s="49">
        <f>HLOOKUP($T$9,$W$8:$BT$33,24)*T2</f>
        <v>1550</v>
      </c>
      <c r="W19" s="30">
        <v>0</v>
      </c>
      <c r="X19" s="30">
        <v>48</v>
      </c>
      <c r="Y19" s="30">
        <v>0</v>
      </c>
      <c r="Z19" s="30">
        <v>70</v>
      </c>
      <c r="AA19" s="30">
        <v>0</v>
      </c>
      <c r="AB19" s="30">
        <v>108</v>
      </c>
      <c r="AC19" s="30">
        <v>0</v>
      </c>
      <c r="AD19" s="30">
        <v>120</v>
      </c>
      <c r="AE19" s="30">
        <v>0</v>
      </c>
      <c r="AF19" s="30">
        <v>175</v>
      </c>
      <c r="AG19" s="30">
        <v>0</v>
      </c>
      <c r="AH19" s="30">
        <v>240</v>
      </c>
      <c r="AI19" s="31"/>
      <c r="AJ19" s="30"/>
      <c r="AK19" s="30"/>
      <c r="AL19" s="30"/>
      <c r="AM19" s="30"/>
      <c r="AN19" s="30"/>
      <c r="AO19" s="30">
        <v>0</v>
      </c>
      <c r="AP19" s="30">
        <v>700</v>
      </c>
      <c r="AQ19" s="30">
        <v>0</v>
      </c>
      <c r="AR19" s="30">
        <v>970</v>
      </c>
      <c r="AS19" s="30">
        <v>0</v>
      </c>
      <c r="AT19" s="30">
        <v>1200</v>
      </c>
      <c r="AU19" s="42">
        <v>0</v>
      </c>
      <c r="AV19" s="42">
        <v>1550</v>
      </c>
      <c r="AW19" s="30">
        <v>0</v>
      </c>
      <c r="AX19" s="30">
        <v>1770</v>
      </c>
      <c r="AY19" s="30">
        <v>0</v>
      </c>
      <c r="AZ19" s="30">
        <v>2150</v>
      </c>
      <c r="BA19" s="30">
        <v>0</v>
      </c>
      <c r="BB19" s="30">
        <v>3000</v>
      </c>
      <c r="BC19" s="30">
        <v>0</v>
      </c>
      <c r="BD19" s="30">
        <v>3900</v>
      </c>
      <c r="BE19" s="30">
        <v>0</v>
      </c>
      <c r="BF19" s="30">
        <v>5000</v>
      </c>
      <c r="BG19" s="30">
        <v>0</v>
      </c>
      <c r="BH19" s="30">
        <v>5800</v>
      </c>
      <c r="BI19" s="30">
        <v>0</v>
      </c>
      <c r="BJ19" s="30">
        <v>7250</v>
      </c>
      <c r="BK19" s="30">
        <v>0</v>
      </c>
      <c r="BL19" s="30">
        <v>8500</v>
      </c>
      <c r="BM19" s="30">
        <v>0</v>
      </c>
      <c r="BN19" s="30">
        <v>10500</v>
      </c>
      <c r="BO19" s="42">
        <v>0</v>
      </c>
      <c r="BP19" s="42">
        <v>13100</v>
      </c>
      <c r="BQ19" s="30">
        <v>0</v>
      </c>
      <c r="BR19" s="30">
        <v>15000</v>
      </c>
      <c r="BS19" s="30">
        <v>0</v>
      </c>
      <c r="BT19" s="30">
        <v>17000</v>
      </c>
      <c r="BU19" s="44"/>
      <c r="BV19" s="44"/>
    </row>
    <row r="20" spans="19:74" ht="13.5" thickBot="1">
      <c r="S20" s="30">
        <f>HLOOKUP($T$9,$W$8:$BR$58,38)</f>
        <v>0</v>
      </c>
      <c r="T20" s="30">
        <f>HLOOKUP($T$9,$W$8:$BR$58,50)*T2</f>
        <v>1550</v>
      </c>
      <c r="U20" s="48">
        <f>HLOOKUP(T$9,W$8:BT$33,13)</f>
        <v>0</v>
      </c>
      <c r="V20" s="49">
        <f>HLOOKUP($T$9,$W$8:$BT$33,25)*T2</f>
        <v>1550</v>
      </c>
      <c r="W20" s="30">
        <v>0</v>
      </c>
      <c r="X20" s="30">
        <v>48</v>
      </c>
      <c r="Y20" s="30">
        <v>0</v>
      </c>
      <c r="Z20" s="30">
        <v>70</v>
      </c>
      <c r="AA20" s="30">
        <v>0</v>
      </c>
      <c r="AB20" s="30">
        <v>108</v>
      </c>
      <c r="AC20" s="30">
        <v>0</v>
      </c>
      <c r="AD20" s="30">
        <v>120</v>
      </c>
      <c r="AE20" s="30">
        <v>0</v>
      </c>
      <c r="AF20" s="30">
        <v>175</v>
      </c>
      <c r="AG20" s="30">
        <v>0</v>
      </c>
      <c r="AH20" s="30">
        <v>240</v>
      </c>
      <c r="AI20" s="31"/>
      <c r="AJ20" s="30"/>
      <c r="AK20" s="30"/>
      <c r="AL20" s="30"/>
      <c r="AM20" s="30"/>
      <c r="AN20" s="30"/>
      <c r="AO20" s="30">
        <v>0</v>
      </c>
      <c r="AP20" s="30">
        <v>700</v>
      </c>
      <c r="AQ20" s="30">
        <v>0</v>
      </c>
      <c r="AR20" s="30">
        <v>970</v>
      </c>
      <c r="AS20" s="30">
        <v>0</v>
      </c>
      <c r="AT20" s="30">
        <v>1200</v>
      </c>
      <c r="AU20" s="42">
        <v>0</v>
      </c>
      <c r="AV20" s="42">
        <v>1550</v>
      </c>
      <c r="AW20" s="30">
        <v>0</v>
      </c>
      <c r="AX20" s="30">
        <v>1770</v>
      </c>
      <c r="AY20" s="30">
        <v>0</v>
      </c>
      <c r="AZ20" s="30">
        <v>2150</v>
      </c>
      <c r="BA20" s="30">
        <v>0</v>
      </c>
      <c r="BB20" s="30">
        <v>3000</v>
      </c>
      <c r="BC20" s="30">
        <v>0</v>
      </c>
      <c r="BD20" s="30">
        <v>3900</v>
      </c>
      <c r="BE20" s="30">
        <v>0</v>
      </c>
      <c r="BF20" s="30">
        <v>5000</v>
      </c>
      <c r="BG20" s="30">
        <v>0</v>
      </c>
      <c r="BH20" s="30">
        <v>5800</v>
      </c>
      <c r="BI20" s="30">
        <v>0</v>
      </c>
      <c r="BJ20" s="30">
        <v>7250</v>
      </c>
      <c r="BK20" s="30">
        <v>0</v>
      </c>
      <c r="BL20" s="30">
        <v>8500</v>
      </c>
      <c r="BM20" s="30">
        <v>0</v>
      </c>
      <c r="BN20" s="30">
        <v>10500</v>
      </c>
      <c r="BO20" s="42">
        <v>0</v>
      </c>
      <c r="BP20" s="42">
        <v>13100</v>
      </c>
      <c r="BQ20" s="30">
        <v>0</v>
      </c>
      <c r="BR20" s="30">
        <v>15000</v>
      </c>
      <c r="BS20" s="30">
        <v>0</v>
      </c>
      <c r="BT20" s="30">
        <v>17000</v>
      </c>
      <c r="BU20" s="44"/>
      <c r="BV20" s="44"/>
    </row>
    <row r="21" spans="19:74" ht="12.75">
      <c r="S21" s="30">
        <f>HLOOKUP($T$9,$W$8:$BR$58,39)</f>
        <v>0</v>
      </c>
      <c r="T21" s="30">
        <f>HLOOKUP($T$9,$W$8:$BR$58,51)*T2</f>
        <v>1550</v>
      </c>
      <c r="U21" s="48">
        <f>HLOOKUP(T$9,W$8:BT$33,14)</f>
        <v>0</v>
      </c>
      <c r="V21" s="49">
        <f>HLOOKUP($T$9,$W$8:$BT$33,26)*T2</f>
        <v>1550</v>
      </c>
      <c r="W21" s="30">
        <v>0</v>
      </c>
      <c r="X21" s="30">
        <v>48</v>
      </c>
      <c r="Y21" s="30">
        <v>0</v>
      </c>
      <c r="Z21" s="30">
        <v>70</v>
      </c>
      <c r="AA21" s="30">
        <v>0</v>
      </c>
      <c r="AB21" s="30">
        <v>108</v>
      </c>
      <c r="AC21" s="30">
        <v>0</v>
      </c>
      <c r="AD21" s="30">
        <v>120</v>
      </c>
      <c r="AE21" s="30">
        <v>0</v>
      </c>
      <c r="AF21" s="30">
        <v>175</v>
      </c>
      <c r="AG21" s="30">
        <v>0</v>
      </c>
      <c r="AH21" s="30">
        <v>240</v>
      </c>
      <c r="AI21" s="31"/>
      <c r="AJ21" s="30"/>
      <c r="AK21" s="30"/>
      <c r="AL21" s="30"/>
      <c r="AM21" s="30"/>
      <c r="AN21" s="30"/>
      <c r="AO21" s="30">
        <v>0</v>
      </c>
      <c r="AP21" s="30">
        <v>700</v>
      </c>
      <c r="AQ21" s="30">
        <v>0</v>
      </c>
      <c r="AR21" s="30">
        <v>970</v>
      </c>
      <c r="AS21" s="30">
        <v>0</v>
      </c>
      <c r="AT21" s="30">
        <v>1200</v>
      </c>
      <c r="AU21" s="42">
        <v>0</v>
      </c>
      <c r="AV21" s="42">
        <v>1550</v>
      </c>
      <c r="AW21" s="30">
        <v>0</v>
      </c>
      <c r="AX21" s="30">
        <v>1770</v>
      </c>
      <c r="AY21" s="30">
        <v>0</v>
      </c>
      <c r="AZ21" s="30">
        <v>2150</v>
      </c>
      <c r="BA21" s="30">
        <v>0</v>
      </c>
      <c r="BB21" s="30">
        <v>3000</v>
      </c>
      <c r="BC21" s="30">
        <v>0</v>
      </c>
      <c r="BD21" s="30">
        <v>3900</v>
      </c>
      <c r="BE21" s="30">
        <v>0</v>
      </c>
      <c r="BF21" s="30">
        <v>5000</v>
      </c>
      <c r="BG21" s="30">
        <v>0</v>
      </c>
      <c r="BH21" s="30">
        <v>5800</v>
      </c>
      <c r="BI21" s="30">
        <v>0</v>
      </c>
      <c r="BJ21" s="30">
        <v>7250</v>
      </c>
      <c r="BK21" s="30">
        <v>0</v>
      </c>
      <c r="BL21" s="30">
        <v>8500</v>
      </c>
      <c r="BM21" s="30">
        <v>0</v>
      </c>
      <c r="BN21" s="30">
        <v>10500</v>
      </c>
      <c r="BO21" s="42">
        <v>0</v>
      </c>
      <c r="BP21" s="42">
        <v>13100</v>
      </c>
      <c r="BQ21" s="30">
        <v>0</v>
      </c>
      <c r="BR21" s="30">
        <v>15000</v>
      </c>
      <c r="BS21" s="30">
        <v>0</v>
      </c>
      <c r="BT21" s="30">
        <v>17000</v>
      </c>
      <c r="BU21" s="44"/>
      <c r="BV21" s="44"/>
    </row>
    <row r="22" spans="15:178" ht="12.75">
      <c r="O22" s="44"/>
      <c r="P22" s="155" t="s">
        <v>111</v>
      </c>
      <c r="Q22" s="155"/>
      <c r="R22" s="44">
        <v>0</v>
      </c>
      <c r="S22" s="207" t="s">
        <v>75</v>
      </c>
      <c r="T22" s="207"/>
      <c r="U22" s="45"/>
      <c r="V22" s="45"/>
      <c r="W22" s="39" t="str">
        <f>X10</f>
        <v>potenza</v>
      </c>
      <c r="X22" s="39"/>
      <c r="Y22" s="39" t="str">
        <f>Z10</f>
        <v>potenza</v>
      </c>
      <c r="Z22" s="39"/>
      <c r="AA22" s="39" t="str">
        <f>AB10</f>
        <v>potenza</v>
      </c>
      <c r="AB22" s="39"/>
      <c r="AC22" s="39" t="str">
        <f>AD10</f>
        <v>potenza</v>
      </c>
      <c r="AD22" s="39"/>
      <c r="AE22" s="39" t="str">
        <f>AF10</f>
        <v>potenza</v>
      </c>
      <c r="AF22" s="39"/>
      <c r="AG22" s="39" t="str">
        <f>AH10</f>
        <v>potenza</v>
      </c>
      <c r="AH22" s="39"/>
      <c r="AI22" s="30" t="str">
        <f>AJ10</f>
        <v>potenza</v>
      </c>
      <c r="AJ22" s="30"/>
      <c r="AK22" s="30" t="str">
        <f>AL10</f>
        <v>potenza</v>
      </c>
      <c r="AL22" s="30"/>
      <c r="AM22" s="30" t="str">
        <f>AN10</f>
        <v>potenza</v>
      </c>
      <c r="AN22" s="30"/>
      <c r="AO22" s="30" t="str">
        <f>AP10</f>
        <v>potenza</v>
      </c>
      <c r="AP22" s="30"/>
      <c r="AQ22" s="30" t="str">
        <f>AR10</f>
        <v>potenza</v>
      </c>
      <c r="AR22" s="30"/>
      <c r="AS22" s="30" t="str">
        <f>AT10</f>
        <v>potenza</v>
      </c>
      <c r="AT22" s="30"/>
      <c r="AU22" s="30" t="str">
        <f>AV10</f>
        <v>potenza</v>
      </c>
      <c r="AV22" s="30"/>
      <c r="AW22" s="30" t="str">
        <f>AX10</f>
        <v>potenza</v>
      </c>
      <c r="AX22" s="30"/>
      <c r="AY22" s="30" t="str">
        <f aca="true" t="shared" si="0" ref="AY22:AY33">AZ10</f>
        <v>potenza</v>
      </c>
      <c r="AZ22" s="30"/>
      <c r="BA22" s="30" t="str">
        <f aca="true" t="shared" si="1" ref="BA22:BA33">BB10</f>
        <v>potenza</v>
      </c>
      <c r="BB22" s="30"/>
      <c r="BC22" s="30" t="str">
        <f aca="true" t="shared" si="2" ref="BC22:BC33">BD10</f>
        <v>potenza</v>
      </c>
      <c r="BD22" s="30"/>
      <c r="BE22" s="30" t="str">
        <f aca="true" t="shared" si="3" ref="BE22:BE33">BF10</f>
        <v>potenza</v>
      </c>
      <c r="BF22" s="30"/>
      <c r="BG22" s="30" t="str">
        <f aca="true" t="shared" si="4" ref="BG22:BG33">BH10</f>
        <v>potenza</v>
      </c>
      <c r="BH22" s="30"/>
      <c r="BI22" s="30" t="str">
        <f aca="true" t="shared" si="5" ref="BI22:BI33">BJ10</f>
        <v>potenza</v>
      </c>
      <c r="BJ22" s="30"/>
      <c r="BK22" s="30" t="str">
        <f aca="true" t="shared" si="6" ref="BK22:BK33">BL10</f>
        <v>potenza</v>
      </c>
      <c r="BL22" s="30"/>
      <c r="BM22" s="30" t="str">
        <f aca="true" t="shared" si="7" ref="BM22:BM33">BN10</f>
        <v>potenza</v>
      </c>
      <c r="BN22" s="30"/>
      <c r="BO22" s="30" t="str">
        <f aca="true" t="shared" si="8" ref="BO22:BO33">BP10</f>
        <v>potenza</v>
      </c>
      <c r="BP22" s="30"/>
      <c r="BQ22" s="30" t="str">
        <f aca="true" t="shared" si="9" ref="BQ22:BQ33">BR10</f>
        <v>potenza</v>
      </c>
      <c r="BR22" s="30"/>
      <c r="BS22" s="30" t="str">
        <f aca="true" t="shared" si="10" ref="BS22:BS33">BT10</f>
        <v>potenza</v>
      </c>
      <c r="BT22" s="30"/>
      <c r="BU22" s="44"/>
      <c r="BV22" s="44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</row>
    <row r="23" spans="15:178" ht="12.75">
      <c r="O23" s="44"/>
      <c r="P23" s="68" t="s">
        <v>112</v>
      </c>
      <c r="Q23" s="68" t="s">
        <v>113</v>
      </c>
      <c r="R23" s="44"/>
      <c r="S23" s="44"/>
      <c r="T23" s="45"/>
      <c r="U23" s="45"/>
      <c r="V23" s="45"/>
      <c r="W23" s="30">
        <f aca="true" t="shared" si="11" ref="W23:W31">X11</f>
        <v>48</v>
      </c>
      <c r="X23" s="30"/>
      <c r="Y23" s="32">
        <f aca="true" t="shared" si="12" ref="Y23:Y28">Z11</f>
        <v>70</v>
      </c>
      <c r="Z23" s="30"/>
      <c r="AA23" s="31">
        <f aca="true" t="shared" si="13" ref="AA23:AA33">AB11</f>
        <v>108</v>
      </c>
      <c r="AB23" s="30"/>
      <c r="AC23" s="30">
        <f aca="true" t="shared" si="14" ref="AC23:AC28">AD11</f>
        <v>120</v>
      </c>
      <c r="AD23" s="30"/>
      <c r="AE23" s="30">
        <f aca="true" t="shared" si="15" ref="AE23:AE30">AF11</f>
        <v>175</v>
      </c>
      <c r="AF23" s="30"/>
      <c r="AG23" s="30">
        <f aca="true" t="shared" si="16" ref="AG23:AG29">AH11</f>
        <v>240</v>
      </c>
      <c r="AH23" s="30"/>
      <c r="AI23" s="30">
        <f aca="true" t="shared" si="17" ref="AI23:AI30">AJ11</f>
        <v>350</v>
      </c>
      <c r="AJ23" s="30"/>
      <c r="AK23" s="30">
        <f aca="true" t="shared" si="18" ref="AK23:AK30">AL11</f>
        <v>500</v>
      </c>
      <c r="AL23" s="30"/>
      <c r="AM23" s="30">
        <f aca="true" t="shared" si="19" ref="AM23:AM29">AN11</f>
        <v>500</v>
      </c>
      <c r="AN23" s="30"/>
      <c r="AO23" s="30">
        <f aca="true" t="shared" si="20" ref="AO23:AO29">AP11</f>
        <v>700</v>
      </c>
      <c r="AP23" s="30"/>
      <c r="AQ23" s="30">
        <f aca="true" t="shared" si="21" ref="AQ23:AQ30">AR11</f>
        <v>970</v>
      </c>
      <c r="AR23" s="30"/>
      <c r="AS23" s="30">
        <f aca="true" t="shared" si="22" ref="AS23:AS30">AT11</f>
        <v>1200</v>
      </c>
      <c r="AT23" s="30"/>
      <c r="AU23" s="30">
        <f>AV11</f>
        <v>1550</v>
      </c>
      <c r="AV23" s="30"/>
      <c r="AW23" s="30">
        <f>AX11</f>
        <v>1770</v>
      </c>
      <c r="AX23" s="30"/>
      <c r="AY23" s="30">
        <f t="shared" si="0"/>
        <v>2150</v>
      </c>
      <c r="AZ23" s="30"/>
      <c r="BA23" s="30">
        <f t="shared" si="1"/>
        <v>3000</v>
      </c>
      <c r="BB23" s="30"/>
      <c r="BC23" s="30">
        <f t="shared" si="2"/>
        <v>3900</v>
      </c>
      <c r="BD23" s="30"/>
      <c r="BE23" s="30">
        <f t="shared" si="3"/>
        <v>5000</v>
      </c>
      <c r="BF23" s="30"/>
      <c r="BG23" s="30">
        <f t="shared" si="4"/>
        <v>5800</v>
      </c>
      <c r="BH23" s="30"/>
      <c r="BI23" s="30">
        <f t="shared" si="5"/>
        <v>7500</v>
      </c>
      <c r="BJ23" s="30"/>
      <c r="BK23" s="30">
        <f t="shared" si="6"/>
        <v>8500</v>
      </c>
      <c r="BL23" s="30"/>
      <c r="BM23" s="30">
        <f t="shared" si="7"/>
        <v>10500</v>
      </c>
      <c r="BN23" s="30"/>
      <c r="BO23" s="30">
        <f t="shared" si="8"/>
        <v>13100</v>
      </c>
      <c r="BP23" s="30"/>
      <c r="BQ23" s="30">
        <f t="shared" si="9"/>
        <v>15000</v>
      </c>
      <c r="BR23" s="30"/>
      <c r="BS23" s="30">
        <f t="shared" si="10"/>
        <v>17000</v>
      </c>
      <c r="BT23" s="30"/>
      <c r="BU23" s="44"/>
      <c r="BV23" s="44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</row>
    <row r="24" spans="15:178" ht="12.75">
      <c r="O24" s="44">
        <v>1</v>
      </c>
      <c r="P24" s="68">
        <v>89</v>
      </c>
      <c r="Q24" s="68" t="s">
        <v>125</v>
      </c>
      <c r="R24" s="44" t="str">
        <f>U24</f>
        <v>Max G 40 </v>
      </c>
      <c r="S24" s="44"/>
      <c r="T24" s="45">
        <v>1</v>
      </c>
      <c r="U24" s="45" t="str">
        <f>W9</f>
        <v>Max G 40 </v>
      </c>
      <c r="V24" s="45"/>
      <c r="W24" s="30">
        <f t="shared" si="11"/>
        <v>48</v>
      </c>
      <c r="X24" s="30"/>
      <c r="Y24" s="32">
        <f t="shared" si="12"/>
        <v>70</v>
      </c>
      <c r="Z24" s="30"/>
      <c r="AA24" s="31">
        <f t="shared" si="13"/>
        <v>106</v>
      </c>
      <c r="AB24" s="30"/>
      <c r="AC24" s="30">
        <f t="shared" si="14"/>
        <v>116</v>
      </c>
      <c r="AD24" s="30"/>
      <c r="AE24" s="30">
        <f t="shared" si="15"/>
        <v>170</v>
      </c>
      <c r="AF24" s="30"/>
      <c r="AG24" s="30">
        <f t="shared" si="16"/>
        <v>235</v>
      </c>
      <c r="AH24" s="30"/>
      <c r="AI24" s="30">
        <f t="shared" si="17"/>
        <v>350</v>
      </c>
      <c r="AJ24" s="30"/>
      <c r="AK24" s="30">
        <f t="shared" si="18"/>
        <v>500</v>
      </c>
      <c r="AL24" s="30"/>
      <c r="AM24" s="30">
        <f t="shared" si="19"/>
        <v>500</v>
      </c>
      <c r="AN24" s="30"/>
      <c r="AO24" s="30">
        <f t="shared" si="20"/>
        <v>700</v>
      </c>
      <c r="AP24" s="30"/>
      <c r="AQ24" s="30">
        <f t="shared" si="21"/>
        <v>970</v>
      </c>
      <c r="AR24" s="30"/>
      <c r="AS24" s="30">
        <f t="shared" si="22"/>
        <v>1200</v>
      </c>
      <c r="AT24" s="30"/>
      <c r="AU24" s="30">
        <f aca="true" t="shared" si="23" ref="AU24:AW33">AV12</f>
        <v>1550</v>
      </c>
      <c r="AV24" s="30"/>
      <c r="AW24" s="30">
        <f t="shared" si="23"/>
        <v>1500</v>
      </c>
      <c r="AX24" s="30"/>
      <c r="AY24" s="30">
        <f t="shared" si="0"/>
        <v>1750</v>
      </c>
      <c r="AZ24" s="30"/>
      <c r="BA24" s="30">
        <f t="shared" si="1"/>
        <v>2400</v>
      </c>
      <c r="BB24" s="30"/>
      <c r="BC24" s="30">
        <f t="shared" si="2"/>
        <v>3800</v>
      </c>
      <c r="BD24" s="30"/>
      <c r="BE24" s="30">
        <f t="shared" si="3"/>
        <v>3500</v>
      </c>
      <c r="BF24" s="30"/>
      <c r="BG24" s="30">
        <f t="shared" si="4"/>
        <v>4350</v>
      </c>
      <c r="BH24" s="30"/>
      <c r="BI24" s="30">
        <f t="shared" si="5"/>
        <v>7500</v>
      </c>
      <c r="BJ24" s="30"/>
      <c r="BK24" s="30">
        <f t="shared" si="6"/>
        <v>8250</v>
      </c>
      <c r="BL24" s="30"/>
      <c r="BM24" s="30">
        <f t="shared" si="7"/>
        <v>9000</v>
      </c>
      <c r="BN24" s="30"/>
      <c r="BO24" s="30">
        <f t="shared" si="8"/>
        <v>10500</v>
      </c>
      <c r="BP24" s="30"/>
      <c r="BQ24" s="30">
        <f t="shared" si="9"/>
        <v>15000</v>
      </c>
      <c r="BR24" s="30"/>
      <c r="BS24" s="30">
        <f t="shared" si="10"/>
        <v>17000</v>
      </c>
      <c r="BT24" s="30"/>
      <c r="BU24" s="44"/>
      <c r="BV24" s="44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</row>
    <row r="25" spans="15:178" ht="12.75">
      <c r="O25" s="44">
        <v>2</v>
      </c>
      <c r="P25" s="68">
        <v>89</v>
      </c>
      <c r="Q25" s="68" t="s">
        <v>122</v>
      </c>
      <c r="R25" s="44" t="str">
        <f aca="true" t="shared" si="24" ref="R25:R48">U25</f>
        <v>Max G 70 </v>
      </c>
      <c r="S25" s="40"/>
      <c r="T25" s="45">
        <f>T24+1</f>
        <v>2</v>
      </c>
      <c r="U25" s="45" t="str">
        <f>Y9</f>
        <v>Max G 70 </v>
      </c>
      <c r="V25" s="45"/>
      <c r="W25" s="30">
        <f t="shared" si="11"/>
        <v>40</v>
      </c>
      <c r="X25" s="30"/>
      <c r="Y25" s="32">
        <f t="shared" si="12"/>
        <v>60</v>
      </c>
      <c r="Z25" s="30"/>
      <c r="AA25" s="31">
        <f t="shared" si="13"/>
        <v>84</v>
      </c>
      <c r="AB25" s="30"/>
      <c r="AC25" s="30">
        <f t="shared" si="14"/>
        <v>84</v>
      </c>
      <c r="AD25" s="30"/>
      <c r="AE25" s="30">
        <f t="shared" si="15"/>
        <v>135</v>
      </c>
      <c r="AF25" s="30"/>
      <c r="AG25" s="30">
        <f t="shared" si="16"/>
        <v>165</v>
      </c>
      <c r="AH25" s="30"/>
      <c r="AI25" s="30">
        <f t="shared" si="17"/>
        <v>260</v>
      </c>
      <c r="AJ25" s="30"/>
      <c r="AK25" s="30">
        <f t="shared" si="18"/>
        <v>390</v>
      </c>
      <c r="AL25" s="30"/>
      <c r="AM25" s="30">
        <f t="shared" si="19"/>
        <v>420</v>
      </c>
      <c r="AN25" s="30"/>
      <c r="AO25" s="30">
        <f t="shared" si="20"/>
        <v>600</v>
      </c>
      <c r="AP25" s="30"/>
      <c r="AQ25" s="30">
        <f t="shared" si="21"/>
        <v>770</v>
      </c>
      <c r="AR25" s="30"/>
      <c r="AS25" s="30">
        <f t="shared" si="22"/>
        <v>930</v>
      </c>
      <c r="AT25" s="30"/>
      <c r="AU25" s="30">
        <f t="shared" si="23"/>
        <v>1350</v>
      </c>
      <c r="AV25" s="30"/>
      <c r="AW25" s="30">
        <f t="shared" si="23"/>
        <v>700</v>
      </c>
      <c r="AX25" s="30"/>
      <c r="AY25" s="30">
        <f t="shared" si="0"/>
        <v>900</v>
      </c>
      <c r="AZ25" s="30"/>
      <c r="BA25" s="30">
        <f t="shared" si="1"/>
        <v>1600</v>
      </c>
      <c r="BB25" s="30"/>
      <c r="BC25" s="30">
        <f t="shared" si="2"/>
        <v>2900</v>
      </c>
      <c r="BD25" s="30"/>
      <c r="BE25" s="30">
        <f t="shared" si="3"/>
        <v>1600</v>
      </c>
      <c r="BF25" s="30"/>
      <c r="BG25" s="30">
        <f t="shared" si="4"/>
        <v>2125</v>
      </c>
      <c r="BH25" s="30"/>
      <c r="BI25" s="30">
        <f t="shared" si="5"/>
        <v>5200</v>
      </c>
      <c r="BJ25" s="30"/>
      <c r="BK25" s="30">
        <f t="shared" si="6"/>
        <v>8000</v>
      </c>
      <c r="BL25" s="30"/>
      <c r="BM25" s="30">
        <f t="shared" si="7"/>
        <v>7250</v>
      </c>
      <c r="BN25" s="30"/>
      <c r="BO25" s="30">
        <f t="shared" si="8"/>
        <v>8800</v>
      </c>
      <c r="BP25" s="30"/>
      <c r="BQ25" s="30">
        <f t="shared" si="9"/>
        <v>12200</v>
      </c>
      <c r="BR25" s="30"/>
      <c r="BS25" s="30">
        <f t="shared" si="10"/>
        <v>13900</v>
      </c>
      <c r="BT25" s="30"/>
      <c r="BU25" s="44"/>
      <c r="BV25" s="44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</row>
    <row r="26" spans="15:178" ht="12.75">
      <c r="O26" s="44">
        <f>O25+1</f>
        <v>3</v>
      </c>
      <c r="P26" s="68">
        <v>89</v>
      </c>
      <c r="Q26" s="68" t="s">
        <v>123</v>
      </c>
      <c r="R26" s="44" t="str">
        <f t="shared" si="24"/>
        <v>Max G 105 </v>
      </c>
      <c r="S26" s="45"/>
      <c r="T26" s="45">
        <f aca="true" t="shared" si="25" ref="T26:T42">T25+1</f>
        <v>3</v>
      </c>
      <c r="U26" s="45" t="str">
        <f>AA9</f>
        <v>Max G 105 </v>
      </c>
      <c r="V26" s="45"/>
      <c r="W26" s="30">
        <f t="shared" si="11"/>
        <v>20</v>
      </c>
      <c r="X26" s="30"/>
      <c r="Y26" s="32">
        <f t="shared" si="12"/>
        <v>40</v>
      </c>
      <c r="Z26" s="30"/>
      <c r="AA26" s="31">
        <f t="shared" si="13"/>
        <v>70</v>
      </c>
      <c r="AB26" s="30"/>
      <c r="AC26" s="30">
        <f t="shared" si="14"/>
        <v>70</v>
      </c>
      <c r="AD26" s="30"/>
      <c r="AE26" s="30">
        <f t="shared" si="15"/>
        <v>95</v>
      </c>
      <c r="AF26" s="30"/>
      <c r="AG26" s="30">
        <f t="shared" si="16"/>
        <v>95</v>
      </c>
      <c r="AH26" s="30"/>
      <c r="AI26" s="30">
        <f t="shared" si="17"/>
        <v>180</v>
      </c>
      <c r="AJ26" s="30"/>
      <c r="AK26" s="30">
        <f t="shared" si="18"/>
        <v>220</v>
      </c>
      <c r="AL26" s="30"/>
      <c r="AM26" s="30">
        <f t="shared" si="19"/>
        <v>250</v>
      </c>
      <c r="AN26" s="30"/>
      <c r="AO26" s="30">
        <f t="shared" si="20"/>
        <v>340</v>
      </c>
      <c r="AP26" s="30"/>
      <c r="AQ26" s="30">
        <f t="shared" si="21"/>
        <v>440</v>
      </c>
      <c r="AR26" s="30"/>
      <c r="AS26" s="30">
        <f t="shared" si="22"/>
        <v>525</v>
      </c>
      <c r="AT26" s="30"/>
      <c r="AU26" s="30">
        <f t="shared" si="23"/>
        <v>700</v>
      </c>
      <c r="AV26" s="30"/>
      <c r="AW26" s="30">
        <f t="shared" si="23"/>
        <v>342</v>
      </c>
      <c r="AX26" s="30"/>
      <c r="AY26" s="30">
        <f t="shared" si="0"/>
        <v>414</v>
      </c>
      <c r="AZ26" s="30"/>
      <c r="BA26" s="30">
        <f t="shared" si="1"/>
        <v>630</v>
      </c>
      <c r="BB26" s="30"/>
      <c r="BC26" s="30">
        <f t="shared" si="2"/>
        <v>2100</v>
      </c>
      <c r="BD26" s="30"/>
      <c r="BE26" s="30">
        <f t="shared" si="3"/>
        <v>1200</v>
      </c>
      <c r="BF26" s="30"/>
      <c r="BG26" s="30">
        <f t="shared" si="4"/>
        <v>1500</v>
      </c>
      <c r="BH26" s="30"/>
      <c r="BI26" s="30">
        <f t="shared" si="5"/>
        <v>2750</v>
      </c>
      <c r="BJ26" s="30"/>
      <c r="BK26" s="30">
        <f t="shared" si="6"/>
        <v>6500</v>
      </c>
      <c r="BL26" s="30"/>
      <c r="BM26" s="30">
        <f t="shared" si="7"/>
        <v>4800</v>
      </c>
      <c r="BN26" s="30"/>
      <c r="BO26" s="30">
        <f t="shared" si="8"/>
        <v>5250</v>
      </c>
      <c r="BP26" s="30"/>
      <c r="BQ26" s="30">
        <f t="shared" si="9"/>
        <v>11000</v>
      </c>
      <c r="BR26" s="30"/>
      <c r="BS26" s="30">
        <f t="shared" si="10"/>
        <v>12900</v>
      </c>
      <c r="BT26" s="30"/>
      <c r="BU26" s="44"/>
      <c r="BV26" s="44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</row>
    <row r="27" spans="15:178" ht="12.75">
      <c r="O27" s="44">
        <f aca="true" t="shared" si="26" ref="O27:O48">O26+1</f>
        <v>4</v>
      </c>
      <c r="P27" s="68">
        <v>98</v>
      </c>
      <c r="Q27" s="68" t="s">
        <v>123</v>
      </c>
      <c r="R27" s="44" t="str">
        <f t="shared" si="24"/>
        <v>Max G 120 </v>
      </c>
      <c r="S27" s="45"/>
      <c r="T27" s="45">
        <f t="shared" si="25"/>
        <v>4</v>
      </c>
      <c r="U27" s="45" t="str">
        <f>AC9</f>
        <v>Max G 120 </v>
      </c>
      <c r="V27" s="45"/>
      <c r="W27" s="30">
        <f t="shared" si="11"/>
        <v>17</v>
      </c>
      <c r="X27" s="30"/>
      <c r="Y27" s="32">
        <f t="shared" si="12"/>
        <v>34</v>
      </c>
      <c r="Z27" s="30"/>
      <c r="AA27" s="31">
        <f t="shared" si="13"/>
        <v>48</v>
      </c>
      <c r="AB27" s="30"/>
      <c r="AC27" s="30">
        <f t="shared" si="14"/>
        <v>48</v>
      </c>
      <c r="AD27" s="30"/>
      <c r="AE27" s="30">
        <f t="shared" si="15"/>
        <v>55</v>
      </c>
      <c r="AF27" s="30"/>
      <c r="AG27" s="30">
        <f t="shared" si="16"/>
        <v>55</v>
      </c>
      <c r="AH27" s="30"/>
      <c r="AI27" s="30">
        <f t="shared" si="17"/>
        <v>70</v>
      </c>
      <c r="AJ27" s="30"/>
      <c r="AK27" s="30">
        <f t="shared" si="18"/>
        <v>70</v>
      </c>
      <c r="AL27" s="30"/>
      <c r="AM27" s="30">
        <f t="shared" si="19"/>
        <v>180</v>
      </c>
      <c r="AN27" s="30"/>
      <c r="AO27" s="30">
        <f t="shared" si="20"/>
        <v>225</v>
      </c>
      <c r="AP27" s="30"/>
      <c r="AQ27" s="30">
        <f t="shared" si="21"/>
        <v>260</v>
      </c>
      <c r="AR27" s="30"/>
      <c r="AS27" s="30">
        <f t="shared" si="22"/>
        <v>260</v>
      </c>
      <c r="AT27" s="30"/>
      <c r="AU27" s="30">
        <f t="shared" si="23"/>
        <v>350</v>
      </c>
      <c r="AV27" s="30"/>
      <c r="AW27" s="30">
        <f t="shared" si="23"/>
        <v>342</v>
      </c>
      <c r="AX27" s="30"/>
      <c r="AY27" s="30">
        <f t="shared" si="0"/>
        <v>414</v>
      </c>
      <c r="AZ27" s="30"/>
      <c r="BA27" s="30">
        <f t="shared" si="1"/>
        <v>630</v>
      </c>
      <c r="BB27" s="30"/>
      <c r="BC27" s="30">
        <f t="shared" si="2"/>
        <v>875</v>
      </c>
      <c r="BD27" s="30"/>
      <c r="BE27" s="30">
        <f t="shared" si="3"/>
        <v>1200</v>
      </c>
      <c r="BF27" s="30"/>
      <c r="BG27" s="30">
        <f t="shared" si="4"/>
        <v>1500</v>
      </c>
      <c r="BH27" s="30"/>
      <c r="BI27" s="30">
        <f t="shared" si="5"/>
        <v>1500</v>
      </c>
      <c r="BJ27" s="30"/>
      <c r="BK27" s="30">
        <f t="shared" si="6"/>
        <v>6500</v>
      </c>
      <c r="BL27" s="30"/>
      <c r="BM27" s="30">
        <f t="shared" si="7"/>
        <v>2500</v>
      </c>
      <c r="BN27" s="30"/>
      <c r="BO27" s="30">
        <f t="shared" si="8"/>
        <v>2700</v>
      </c>
      <c r="BP27" s="30"/>
      <c r="BQ27" s="30">
        <f t="shared" si="9"/>
        <v>7000</v>
      </c>
      <c r="BR27" s="30"/>
      <c r="BS27" s="30">
        <f t="shared" si="10"/>
        <v>8000</v>
      </c>
      <c r="BT27" s="30"/>
      <c r="BU27" s="44"/>
      <c r="BV27" s="44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</row>
    <row r="28" spans="15:178" ht="12.75">
      <c r="O28" s="44">
        <f t="shared" si="26"/>
        <v>5</v>
      </c>
      <c r="P28" s="68">
        <v>125</v>
      </c>
      <c r="Q28" s="68" t="s">
        <v>124</v>
      </c>
      <c r="R28" s="44" t="str">
        <f t="shared" si="24"/>
        <v>Max G 170 </v>
      </c>
      <c r="S28" s="45"/>
      <c r="T28" s="45">
        <f t="shared" si="25"/>
        <v>5</v>
      </c>
      <c r="U28" s="45" t="str">
        <f>AE9</f>
        <v>Max G 170 </v>
      </c>
      <c r="V28" s="45"/>
      <c r="W28" s="30">
        <f t="shared" si="11"/>
        <v>48</v>
      </c>
      <c r="X28" s="30"/>
      <c r="Y28" s="32">
        <f t="shared" si="12"/>
        <v>70</v>
      </c>
      <c r="Z28" s="30"/>
      <c r="AA28" s="31">
        <f t="shared" si="13"/>
        <v>108</v>
      </c>
      <c r="AB28" s="30"/>
      <c r="AC28" s="30">
        <f t="shared" si="14"/>
        <v>120</v>
      </c>
      <c r="AD28" s="30"/>
      <c r="AE28" s="30">
        <f t="shared" si="15"/>
        <v>175</v>
      </c>
      <c r="AF28" s="30"/>
      <c r="AG28" s="30">
        <f t="shared" si="16"/>
        <v>240</v>
      </c>
      <c r="AH28" s="30"/>
      <c r="AI28" s="30">
        <f t="shared" si="17"/>
        <v>350</v>
      </c>
      <c r="AJ28" s="30"/>
      <c r="AK28" s="30">
        <f t="shared" si="18"/>
        <v>500</v>
      </c>
      <c r="AL28" s="30"/>
      <c r="AM28" s="30">
        <f t="shared" si="19"/>
        <v>180</v>
      </c>
      <c r="AN28" s="30"/>
      <c r="AO28" s="30">
        <f t="shared" si="20"/>
        <v>225</v>
      </c>
      <c r="AP28" s="30"/>
      <c r="AQ28" s="30">
        <f t="shared" si="21"/>
        <v>245</v>
      </c>
      <c r="AR28" s="30"/>
      <c r="AS28" s="30">
        <f t="shared" si="22"/>
        <v>260</v>
      </c>
      <c r="AT28" s="30"/>
      <c r="AU28" s="30">
        <f t="shared" si="23"/>
        <v>350</v>
      </c>
      <c r="AV28" s="30"/>
      <c r="AW28" s="30">
        <f t="shared" si="23"/>
        <v>1770</v>
      </c>
      <c r="AX28" s="30"/>
      <c r="AY28" s="30">
        <f t="shared" si="0"/>
        <v>2150</v>
      </c>
      <c r="AZ28" s="30"/>
      <c r="BA28" s="30">
        <f t="shared" si="1"/>
        <v>3000</v>
      </c>
      <c r="BB28" s="30"/>
      <c r="BC28" s="30">
        <f t="shared" si="2"/>
        <v>875</v>
      </c>
      <c r="BD28" s="30"/>
      <c r="BE28" s="30">
        <f t="shared" si="3"/>
        <v>5000</v>
      </c>
      <c r="BF28" s="30"/>
      <c r="BG28" s="30">
        <f t="shared" si="4"/>
        <v>5800</v>
      </c>
      <c r="BH28" s="30"/>
      <c r="BI28" s="30">
        <f t="shared" si="5"/>
        <v>1500</v>
      </c>
      <c r="BJ28" s="30"/>
      <c r="BK28" s="30">
        <f t="shared" si="6"/>
        <v>3750</v>
      </c>
      <c r="BL28" s="30"/>
      <c r="BM28" s="30">
        <f t="shared" si="7"/>
        <v>2500</v>
      </c>
      <c r="BN28" s="30"/>
      <c r="BO28" s="30">
        <f t="shared" si="8"/>
        <v>2700</v>
      </c>
      <c r="BP28" s="30"/>
      <c r="BQ28" s="30">
        <f t="shared" si="9"/>
        <v>3700</v>
      </c>
      <c r="BR28" s="30"/>
      <c r="BS28" s="30">
        <f t="shared" si="10"/>
        <v>4000</v>
      </c>
      <c r="BT28" s="30"/>
      <c r="BU28" s="44"/>
      <c r="BV28" s="44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</row>
    <row r="29" spans="15:178" ht="12.75">
      <c r="O29" s="44">
        <f t="shared" si="26"/>
        <v>6</v>
      </c>
      <c r="P29" s="68">
        <v>125</v>
      </c>
      <c r="Q29" s="68" t="s">
        <v>124</v>
      </c>
      <c r="R29" s="44" t="str">
        <f t="shared" si="24"/>
        <v>Max G 250 </v>
      </c>
      <c r="S29" s="45"/>
      <c r="T29" s="45">
        <f t="shared" si="25"/>
        <v>6</v>
      </c>
      <c r="U29" s="45" t="str">
        <f>AG9</f>
        <v>Max G 250 </v>
      </c>
      <c r="V29" s="45"/>
      <c r="W29" s="30">
        <f t="shared" si="11"/>
        <v>48</v>
      </c>
      <c r="X29" s="30"/>
      <c r="Y29" s="32">
        <f>Y28</f>
        <v>70</v>
      </c>
      <c r="Z29" s="30"/>
      <c r="AA29" s="31">
        <f t="shared" si="13"/>
        <v>108</v>
      </c>
      <c r="AB29" s="30"/>
      <c r="AC29" s="30">
        <f>AC28</f>
        <v>120</v>
      </c>
      <c r="AD29" s="30"/>
      <c r="AE29" s="30">
        <f t="shared" si="15"/>
        <v>175</v>
      </c>
      <c r="AF29" s="30"/>
      <c r="AG29" s="30">
        <f t="shared" si="16"/>
        <v>240</v>
      </c>
      <c r="AH29" s="30"/>
      <c r="AI29" s="30">
        <f t="shared" si="17"/>
        <v>350</v>
      </c>
      <c r="AJ29" s="30"/>
      <c r="AK29" s="30">
        <f t="shared" si="18"/>
        <v>500</v>
      </c>
      <c r="AL29" s="30"/>
      <c r="AM29" s="30">
        <f t="shared" si="19"/>
        <v>500</v>
      </c>
      <c r="AN29" s="30"/>
      <c r="AO29" s="30">
        <f t="shared" si="20"/>
        <v>700</v>
      </c>
      <c r="AP29" s="30"/>
      <c r="AQ29" s="30">
        <f t="shared" si="21"/>
        <v>970</v>
      </c>
      <c r="AR29" s="30"/>
      <c r="AS29" s="30">
        <f t="shared" si="22"/>
        <v>1200</v>
      </c>
      <c r="AT29" s="30"/>
      <c r="AU29" s="30">
        <f t="shared" si="23"/>
        <v>1550</v>
      </c>
      <c r="AV29" s="30"/>
      <c r="AW29" s="30">
        <f t="shared" si="23"/>
        <v>1770</v>
      </c>
      <c r="AX29" s="30"/>
      <c r="AY29" s="30">
        <f t="shared" si="0"/>
        <v>2150</v>
      </c>
      <c r="AZ29" s="30"/>
      <c r="BA29" s="30">
        <f t="shared" si="1"/>
        <v>3000</v>
      </c>
      <c r="BB29" s="30"/>
      <c r="BC29" s="30">
        <f t="shared" si="2"/>
        <v>3900</v>
      </c>
      <c r="BD29" s="30"/>
      <c r="BE29" s="30">
        <f t="shared" si="3"/>
        <v>5000</v>
      </c>
      <c r="BF29" s="30"/>
      <c r="BG29" s="30">
        <f t="shared" si="4"/>
        <v>5800</v>
      </c>
      <c r="BH29" s="30"/>
      <c r="BI29" s="30">
        <f t="shared" si="5"/>
        <v>7250</v>
      </c>
      <c r="BJ29" s="30"/>
      <c r="BK29" s="30">
        <f t="shared" si="6"/>
        <v>2000</v>
      </c>
      <c r="BL29" s="30"/>
      <c r="BM29" s="30">
        <f t="shared" si="7"/>
        <v>10500</v>
      </c>
      <c r="BN29" s="30"/>
      <c r="BO29" s="30">
        <f t="shared" si="8"/>
        <v>13100</v>
      </c>
      <c r="BP29" s="30"/>
      <c r="BQ29" s="30">
        <f t="shared" si="9"/>
        <v>3700</v>
      </c>
      <c r="BR29" s="30"/>
      <c r="BS29" s="30">
        <f t="shared" si="10"/>
        <v>4000</v>
      </c>
      <c r="BT29" s="30"/>
      <c r="BU29" s="44"/>
      <c r="BV29" s="44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</row>
    <row r="30" spans="15:178" ht="12.75">
      <c r="O30" s="44">
        <f t="shared" si="26"/>
        <v>7</v>
      </c>
      <c r="P30" s="68">
        <v>157</v>
      </c>
      <c r="Q30" s="68" t="s">
        <v>114</v>
      </c>
      <c r="R30" s="44" t="str">
        <f t="shared" si="24"/>
        <v>Max G 350</v>
      </c>
      <c r="S30" s="45"/>
      <c r="T30" s="45">
        <f t="shared" si="25"/>
        <v>7</v>
      </c>
      <c r="U30" s="45" t="str">
        <f>AI9</f>
        <v>Max G 350</v>
      </c>
      <c r="V30" s="45"/>
      <c r="W30" s="30">
        <f t="shared" si="11"/>
        <v>48</v>
      </c>
      <c r="X30" s="30"/>
      <c r="Y30" s="32">
        <f>Y29</f>
        <v>70</v>
      </c>
      <c r="Z30" s="30"/>
      <c r="AA30" s="31">
        <f t="shared" si="13"/>
        <v>108</v>
      </c>
      <c r="AB30" s="30"/>
      <c r="AC30" s="30">
        <f>AC29</f>
        <v>120</v>
      </c>
      <c r="AD30" s="30"/>
      <c r="AE30" s="30">
        <f t="shared" si="15"/>
        <v>175</v>
      </c>
      <c r="AF30" s="30"/>
      <c r="AG30" s="30">
        <f>AG29</f>
        <v>240</v>
      </c>
      <c r="AH30" s="30"/>
      <c r="AI30" s="30">
        <f t="shared" si="17"/>
        <v>350</v>
      </c>
      <c r="AJ30" s="30"/>
      <c r="AK30" s="30">
        <f t="shared" si="18"/>
        <v>500</v>
      </c>
      <c r="AL30" s="30"/>
      <c r="AM30" s="30">
        <f>AM29</f>
        <v>500</v>
      </c>
      <c r="AN30" s="30"/>
      <c r="AO30" s="30">
        <f>AO29</f>
        <v>700</v>
      </c>
      <c r="AP30" s="30"/>
      <c r="AQ30" s="30">
        <f t="shared" si="21"/>
        <v>970</v>
      </c>
      <c r="AR30" s="30"/>
      <c r="AS30" s="30">
        <f t="shared" si="22"/>
        <v>1200</v>
      </c>
      <c r="AT30" s="30"/>
      <c r="AU30" s="30">
        <f t="shared" si="23"/>
        <v>1550</v>
      </c>
      <c r="AV30" s="30"/>
      <c r="AW30" s="30">
        <f t="shared" si="23"/>
        <v>1770</v>
      </c>
      <c r="AX30" s="30"/>
      <c r="AY30" s="30">
        <f t="shared" si="0"/>
        <v>2150</v>
      </c>
      <c r="AZ30" s="30"/>
      <c r="BA30" s="30">
        <f t="shared" si="1"/>
        <v>3000</v>
      </c>
      <c r="BB30" s="30"/>
      <c r="BC30" s="30">
        <f t="shared" si="2"/>
        <v>3900</v>
      </c>
      <c r="BD30" s="30"/>
      <c r="BE30" s="30">
        <f t="shared" si="3"/>
        <v>5000</v>
      </c>
      <c r="BF30" s="30"/>
      <c r="BG30" s="30">
        <f t="shared" si="4"/>
        <v>5800</v>
      </c>
      <c r="BH30" s="30"/>
      <c r="BI30" s="30">
        <f t="shared" si="5"/>
        <v>7250</v>
      </c>
      <c r="BJ30" s="30"/>
      <c r="BK30" s="30">
        <f t="shared" si="6"/>
        <v>2000</v>
      </c>
      <c r="BL30" s="30"/>
      <c r="BM30" s="30">
        <f t="shared" si="7"/>
        <v>10500</v>
      </c>
      <c r="BN30" s="30"/>
      <c r="BO30" s="30">
        <f t="shared" si="8"/>
        <v>13100</v>
      </c>
      <c r="BP30" s="30"/>
      <c r="BQ30" s="30">
        <f t="shared" si="9"/>
        <v>15000</v>
      </c>
      <c r="BR30" s="30"/>
      <c r="BS30" s="30">
        <f t="shared" si="10"/>
        <v>17000</v>
      </c>
      <c r="BT30" s="30"/>
      <c r="BU30" s="44"/>
      <c r="BV30" s="44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</row>
    <row r="31" spans="15:178" ht="12.75">
      <c r="O31" s="44">
        <f t="shared" si="26"/>
        <v>8</v>
      </c>
      <c r="P31" s="68">
        <v>157</v>
      </c>
      <c r="Q31" s="68" t="s">
        <v>114</v>
      </c>
      <c r="R31" s="44" t="str">
        <f t="shared" si="24"/>
        <v>Max G 500</v>
      </c>
      <c r="S31" s="45"/>
      <c r="T31" s="45">
        <f t="shared" si="25"/>
        <v>8</v>
      </c>
      <c r="U31" s="45" t="str">
        <f>AK9</f>
        <v>Max G 500</v>
      </c>
      <c r="V31" s="45"/>
      <c r="W31" s="30">
        <f t="shared" si="11"/>
        <v>48</v>
      </c>
      <c r="X31" s="30"/>
      <c r="Y31" s="32">
        <f>Y30</f>
        <v>70</v>
      </c>
      <c r="Z31" s="30"/>
      <c r="AA31" s="31">
        <f t="shared" si="13"/>
        <v>108</v>
      </c>
      <c r="AB31" s="30"/>
      <c r="AC31" s="30">
        <f>AC30</f>
        <v>120</v>
      </c>
      <c r="AD31" s="30"/>
      <c r="AE31" s="30">
        <f>AE30</f>
        <v>175</v>
      </c>
      <c r="AF31" s="30"/>
      <c r="AG31" s="30">
        <f>AG30</f>
        <v>240</v>
      </c>
      <c r="AH31" s="30"/>
      <c r="AI31" s="30">
        <f>AI30</f>
        <v>350</v>
      </c>
      <c r="AJ31" s="30"/>
      <c r="AK31" s="30">
        <f>AK30</f>
        <v>500</v>
      </c>
      <c r="AL31" s="30"/>
      <c r="AM31" s="30">
        <f>AM30</f>
        <v>500</v>
      </c>
      <c r="AN31" s="30"/>
      <c r="AO31" s="30">
        <f>AO30</f>
        <v>700</v>
      </c>
      <c r="AP31" s="30"/>
      <c r="AQ31" s="30">
        <f>AQ30</f>
        <v>970</v>
      </c>
      <c r="AR31" s="30"/>
      <c r="AS31" s="30">
        <f>AS30</f>
        <v>1200</v>
      </c>
      <c r="AT31" s="30"/>
      <c r="AU31" s="30">
        <f t="shared" si="23"/>
        <v>1550</v>
      </c>
      <c r="AV31" s="30"/>
      <c r="AW31" s="30">
        <f t="shared" si="23"/>
        <v>1770</v>
      </c>
      <c r="AX31" s="30"/>
      <c r="AY31" s="30">
        <f t="shared" si="0"/>
        <v>2150</v>
      </c>
      <c r="AZ31" s="30"/>
      <c r="BA31" s="30">
        <f t="shared" si="1"/>
        <v>3000</v>
      </c>
      <c r="BB31" s="30"/>
      <c r="BC31" s="30">
        <f t="shared" si="2"/>
        <v>3900</v>
      </c>
      <c r="BD31" s="30"/>
      <c r="BE31" s="30">
        <f t="shared" si="3"/>
        <v>5000</v>
      </c>
      <c r="BF31" s="30"/>
      <c r="BG31" s="30">
        <f t="shared" si="4"/>
        <v>5800</v>
      </c>
      <c r="BH31" s="30"/>
      <c r="BI31" s="30">
        <f t="shared" si="5"/>
        <v>7250</v>
      </c>
      <c r="BJ31" s="30"/>
      <c r="BK31" s="30">
        <f t="shared" si="6"/>
        <v>8500</v>
      </c>
      <c r="BL31" s="30"/>
      <c r="BM31" s="30">
        <f t="shared" si="7"/>
        <v>10500</v>
      </c>
      <c r="BN31" s="30"/>
      <c r="BO31" s="30">
        <f t="shared" si="8"/>
        <v>13100</v>
      </c>
      <c r="BP31" s="30"/>
      <c r="BQ31" s="30">
        <f t="shared" si="9"/>
        <v>15000</v>
      </c>
      <c r="BR31" s="30"/>
      <c r="BS31" s="30">
        <f t="shared" si="10"/>
        <v>17000</v>
      </c>
      <c r="BT31" s="30"/>
      <c r="BU31" s="44"/>
      <c r="BV31" s="44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</row>
    <row r="32" spans="15:178" ht="12.75">
      <c r="O32" s="44">
        <f t="shared" si="26"/>
        <v>9</v>
      </c>
      <c r="P32" s="68">
        <v>160</v>
      </c>
      <c r="Q32" s="68" t="s">
        <v>114</v>
      </c>
      <c r="R32" s="44" t="str">
        <f t="shared" si="24"/>
        <v>Blu 500.1 Out PL</v>
      </c>
      <c r="S32" s="45"/>
      <c r="T32" s="45">
        <f t="shared" si="25"/>
        <v>9</v>
      </c>
      <c r="U32" s="45" t="str">
        <f>AM9</f>
        <v>Blu 500.1 Out PL</v>
      </c>
      <c r="V32" s="45"/>
      <c r="W32" s="30">
        <f>X20</f>
        <v>48</v>
      </c>
      <c r="X32" s="30"/>
      <c r="Y32" s="32">
        <f>Y31</f>
        <v>70</v>
      </c>
      <c r="Z32" s="30"/>
      <c r="AA32" s="31">
        <f t="shared" si="13"/>
        <v>108</v>
      </c>
      <c r="AB32" s="30"/>
      <c r="AC32" s="30">
        <f>AC31</f>
        <v>120</v>
      </c>
      <c r="AD32" s="30"/>
      <c r="AE32" s="30">
        <f>AE31</f>
        <v>175</v>
      </c>
      <c r="AF32" s="30"/>
      <c r="AG32" s="30">
        <f>AG31</f>
        <v>240</v>
      </c>
      <c r="AH32" s="30"/>
      <c r="AI32" s="30">
        <f>AI31</f>
        <v>350</v>
      </c>
      <c r="AJ32" s="30"/>
      <c r="AK32" s="30">
        <f>AK31</f>
        <v>500</v>
      </c>
      <c r="AL32" s="30"/>
      <c r="AM32" s="30">
        <f>AM31</f>
        <v>500</v>
      </c>
      <c r="AN32" s="30"/>
      <c r="AO32" s="30">
        <f>AO31</f>
        <v>700</v>
      </c>
      <c r="AP32" s="30"/>
      <c r="AQ32" s="30">
        <f>AQ31</f>
        <v>970</v>
      </c>
      <c r="AR32" s="30"/>
      <c r="AS32" s="30">
        <f>AS31</f>
        <v>1200</v>
      </c>
      <c r="AT32" s="30"/>
      <c r="AU32" s="30">
        <f t="shared" si="23"/>
        <v>1550</v>
      </c>
      <c r="AV32" s="30"/>
      <c r="AW32" s="30">
        <f t="shared" si="23"/>
        <v>1770</v>
      </c>
      <c r="AX32" s="30"/>
      <c r="AY32" s="30">
        <f t="shared" si="0"/>
        <v>2150</v>
      </c>
      <c r="AZ32" s="30"/>
      <c r="BA32" s="30">
        <f t="shared" si="1"/>
        <v>3000</v>
      </c>
      <c r="BB32" s="30"/>
      <c r="BC32" s="30">
        <f t="shared" si="2"/>
        <v>3900</v>
      </c>
      <c r="BD32" s="30"/>
      <c r="BE32" s="30">
        <f t="shared" si="3"/>
        <v>5000</v>
      </c>
      <c r="BF32" s="30"/>
      <c r="BG32" s="30">
        <f t="shared" si="4"/>
        <v>5800</v>
      </c>
      <c r="BH32" s="30"/>
      <c r="BI32" s="30">
        <f t="shared" si="5"/>
        <v>7250</v>
      </c>
      <c r="BJ32" s="30"/>
      <c r="BK32" s="30">
        <f t="shared" si="6"/>
        <v>8500</v>
      </c>
      <c r="BL32" s="30"/>
      <c r="BM32" s="30">
        <f t="shared" si="7"/>
        <v>10500</v>
      </c>
      <c r="BN32" s="30"/>
      <c r="BO32" s="30">
        <f t="shared" si="8"/>
        <v>13100</v>
      </c>
      <c r="BP32" s="30"/>
      <c r="BQ32" s="30">
        <f t="shared" si="9"/>
        <v>15000</v>
      </c>
      <c r="BR32" s="30"/>
      <c r="BS32" s="30">
        <f t="shared" si="10"/>
        <v>17000</v>
      </c>
      <c r="BT32" s="30"/>
      <c r="BU32" s="44"/>
      <c r="BV32" s="44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</row>
    <row r="33" spans="15:178" ht="12.75">
      <c r="O33" s="44">
        <f t="shared" si="26"/>
        <v>10</v>
      </c>
      <c r="P33" s="68">
        <v>180</v>
      </c>
      <c r="Q33" s="68" t="s">
        <v>115</v>
      </c>
      <c r="R33" s="44" t="str">
        <f t="shared" si="24"/>
        <v>Blu 700.1</v>
      </c>
      <c r="S33" s="45"/>
      <c r="T33" s="45">
        <f t="shared" si="25"/>
        <v>10</v>
      </c>
      <c r="U33" s="45" t="str">
        <f>AO9</f>
        <v>Blu 700.1</v>
      </c>
      <c r="V33" s="45"/>
      <c r="W33" s="30">
        <f>X21</f>
        <v>48</v>
      </c>
      <c r="X33" s="30"/>
      <c r="Y33" s="32">
        <f>Y32</f>
        <v>70</v>
      </c>
      <c r="Z33" s="30"/>
      <c r="AA33" s="31">
        <f t="shared" si="13"/>
        <v>108</v>
      </c>
      <c r="AB33" s="30"/>
      <c r="AC33" s="30">
        <f>AC32</f>
        <v>120</v>
      </c>
      <c r="AD33" s="30"/>
      <c r="AE33" s="30">
        <f>AE32</f>
        <v>175</v>
      </c>
      <c r="AF33" s="30"/>
      <c r="AG33" s="30">
        <f>AG32</f>
        <v>240</v>
      </c>
      <c r="AH33" s="30"/>
      <c r="AI33" s="30">
        <f>AI32</f>
        <v>350</v>
      </c>
      <c r="AJ33" s="30"/>
      <c r="AK33" s="30">
        <f>AK32</f>
        <v>500</v>
      </c>
      <c r="AL33" s="30"/>
      <c r="AM33" s="30">
        <f>AM32</f>
        <v>500</v>
      </c>
      <c r="AN33" s="30"/>
      <c r="AO33" s="30">
        <f>AO32</f>
        <v>700</v>
      </c>
      <c r="AP33" s="30"/>
      <c r="AQ33" s="30">
        <f>AQ32</f>
        <v>970</v>
      </c>
      <c r="AR33" s="30"/>
      <c r="AS33" s="30">
        <f>AS32</f>
        <v>1200</v>
      </c>
      <c r="AT33" s="30"/>
      <c r="AU33" s="30">
        <f t="shared" si="23"/>
        <v>1550</v>
      </c>
      <c r="AV33" s="30"/>
      <c r="AW33" s="30">
        <f t="shared" si="23"/>
        <v>1770</v>
      </c>
      <c r="AX33" s="30"/>
      <c r="AY33" s="30">
        <f t="shared" si="0"/>
        <v>2150</v>
      </c>
      <c r="AZ33" s="30"/>
      <c r="BA33" s="30">
        <f t="shared" si="1"/>
        <v>3000</v>
      </c>
      <c r="BB33" s="30"/>
      <c r="BC33" s="30">
        <f t="shared" si="2"/>
        <v>3900</v>
      </c>
      <c r="BD33" s="30"/>
      <c r="BE33" s="30">
        <f t="shared" si="3"/>
        <v>5000</v>
      </c>
      <c r="BF33" s="30"/>
      <c r="BG33" s="30">
        <f t="shared" si="4"/>
        <v>5800</v>
      </c>
      <c r="BH33" s="30"/>
      <c r="BI33" s="30">
        <f t="shared" si="5"/>
        <v>7250</v>
      </c>
      <c r="BJ33" s="30"/>
      <c r="BK33" s="30">
        <f t="shared" si="6"/>
        <v>8500</v>
      </c>
      <c r="BL33" s="30"/>
      <c r="BM33" s="30">
        <f t="shared" si="7"/>
        <v>10500</v>
      </c>
      <c r="BN33" s="30"/>
      <c r="BO33" s="30">
        <f t="shared" si="8"/>
        <v>13100</v>
      </c>
      <c r="BP33" s="30"/>
      <c r="BQ33" s="30">
        <f t="shared" si="9"/>
        <v>15000</v>
      </c>
      <c r="BR33" s="30"/>
      <c r="BS33" s="30">
        <f t="shared" si="10"/>
        <v>17000</v>
      </c>
      <c r="BT33" s="30"/>
      <c r="BU33" s="44"/>
      <c r="BV33" s="44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</row>
    <row r="34" spans="15:178" ht="12.75">
      <c r="O34" s="44">
        <f t="shared" si="26"/>
        <v>11</v>
      </c>
      <c r="P34" s="68">
        <v>190</v>
      </c>
      <c r="Q34" s="68" t="s">
        <v>115</v>
      </c>
      <c r="R34" s="44" t="str">
        <f t="shared" si="24"/>
        <v>Blu 1000.1</v>
      </c>
      <c r="S34" s="45"/>
      <c r="T34" s="45">
        <f t="shared" si="25"/>
        <v>11</v>
      </c>
      <c r="U34" s="45" t="str">
        <f>AQ9</f>
        <v>Blu 1000.1</v>
      </c>
      <c r="V34" s="45"/>
      <c r="W34" s="40"/>
      <c r="X34" s="40"/>
      <c r="Y34" s="30" t="s">
        <v>75</v>
      </c>
      <c r="Z34" s="40"/>
      <c r="AA34" s="30" t="s">
        <v>75</v>
      </c>
      <c r="AB34" s="40"/>
      <c r="AC34" s="30" t="s">
        <v>75</v>
      </c>
      <c r="AD34" s="40"/>
      <c r="AE34" s="30" t="s">
        <v>75</v>
      </c>
      <c r="AF34" s="40"/>
      <c r="AG34" s="30" t="s">
        <v>75</v>
      </c>
      <c r="AH34" s="40"/>
      <c r="AI34" s="30" t="s">
        <v>75</v>
      </c>
      <c r="AJ34" s="40"/>
      <c r="AK34" s="30"/>
      <c r="AL34" s="40"/>
      <c r="AM34" s="30"/>
      <c r="AN34" s="40"/>
      <c r="AO34" s="30" t="s">
        <v>85</v>
      </c>
      <c r="AP34" s="40"/>
      <c r="AQ34" s="30" t="s">
        <v>85</v>
      </c>
      <c r="AR34" s="40"/>
      <c r="AS34" s="30" t="s">
        <v>85</v>
      </c>
      <c r="AT34" s="40"/>
      <c r="AU34" s="45" t="s">
        <v>85</v>
      </c>
      <c r="AV34" s="45"/>
      <c r="AW34" s="45" t="s">
        <v>100</v>
      </c>
      <c r="AX34" s="45"/>
      <c r="AY34" s="45" t="s">
        <v>101</v>
      </c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</row>
    <row r="35" spans="15:178" ht="12.75">
      <c r="O35" s="44">
        <f t="shared" si="26"/>
        <v>12</v>
      </c>
      <c r="P35" s="68">
        <v>215</v>
      </c>
      <c r="Q35" s="68" t="s">
        <v>116</v>
      </c>
      <c r="R35" s="44" t="str">
        <f t="shared" si="24"/>
        <v>Blu 1200.1</v>
      </c>
      <c r="S35" s="45"/>
      <c r="T35" s="45">
        <f t="shared" si="25"/>
        <v>12</v>
      </c>
      <c r="U35" s="45" t="str">
        <f>AS9</f>
        <v>Blu 1200.1</v>
      </c>
      <c r="V35" s="45"/>
      <c r="W35" s="40"/>
      <c r="X35" s="40"/>
      <c r="Y35" s="30" t="s">
        <v>76</v>
      </c>
      <c r="Z35" s="41" t="s">
        <v>3</v>
      </c>
      <c r="AA35" s="30" t="s">
        <v>76</v>
      </c>
      <c r="AB35" s="41" t="s">
        <v>3</v>
      </c>
      <c r="AC35" s="30" t="s">
        <v>76</v>
      </c>
      <c r="AD35" s="41" t="s">
        <v>3</v>
      </c>
      <c r="AE35" s="30" t="s">
        <v>76</v>
      </c>
      <c r="AF35" s="41" t="s">
        <v>3</v>
      </c>
      <c r="AG35" s="30" t="s">
        <v>76</v>
      </c>
      <c r="AH35" s="41" t="s">
        <v>3</v>
      </c>
      <c r="AI35" s="30" t="s">
        <v>76</v>
      </c>
      <c r="AJ35" s="41" t="s">
        <v>3</v>
      </c>
      <c r="AK35" s="30" t="s">
        <v>76</v>
      </c>
      <c r="AL35" s="41" t="s">
        <v>3</v>
      </c>
      <c r="AM35" s="30" t="s">
        <v>76</v>
      </c>
      <c r="AN35" s="41" t="s">
        <v>3</v>
      </c>
      <c r="AO35" s="30" t="s">
        <v>76</v>
      </c>
      <c r="AP35" s="41" t="s">
        <v>3</v>
      </c>
      <c r="AQ35" s="30" t="s">
        <v>76</v>
      </c>
      <c r="AR35" s="41" t="s">
        <v>3</v>
      </c>
      <c r="AS35" s="30" t="s">
        <v>76</v>
      </c>
      <c r="AT35" s="41" t="s">
        <v>3</v>
      </c>
      <c r="AU35" s="30" t="s">
        <v>76</v>
      </c>
      <c r="AV35" s="41" t="s">
        <v>3</v>
      </c>
      <c r="AW35" s="30" t="s">
        <v>76</v>
      </c>
      <c r="AX35" s="41" t="s">
        <v>3</v>
      </c>
      <c r="AY35" s="30" t="s">
        <v>76</v>
      </c>
      <c r="AZ35" s="41" t="s">
        <v>3</v>
      </c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</row>
    <row r="36" spans="15:178" ht="13.5" thickBot="1">
      <c r="O36" s="44">
        <f t="shared" si="26"/>
        <v>13</v>
      </c>
      <c r="P36" s="68">
        <v>220</v>
      </c>
      <c r="Q36" s="68" t="s">
        <v>117</v>
      </c>
      <c r="R36" s="44" t="str">
        <f t="shared" si="24"/>
        <v>Blu 1500.1 </v>
      </c>
      <c r="S36" s="45"/>
      <c r="T36" s="45">
        <f t="shared" si="25"/>
        <v>13</v>
      </c>
      <c r="U36" s="45" t="str">
        <f>AU9</f>
        <v>Blu 1500.1 </v>
      </c>
      <c r="V36" s="40">
        <v>29</v>
      </c>
      <c r="W36" s="40"/>
      <c r="X36" s="40"/>
      <c r="Y36" s="30">
        <v>0</v>
      </c>
      <c r="Z36" s="30">
        <v>70</v>
      </c>
      <c r="AA36" s="30">
        <v>0</v>
      </c>
      <c r="AB36" s="30">
        <v>108</v>
      </c>
      <c r="AC36" s="30">
        <v>0</v>
      </c>
      <c r="AD36" s="30">
        <v>120</v>
      </c>
      <c r="AE36" s="30">
        <v>0</v>
      </c>
      <c r="AF36" s="30">
        <v>175</v>
      </c>
      <c r="AG36" s="30">
        <v>0</v>
      </c>
      <c r="AH36" s="30">
        <v>240</v>
      </c>
      <c r="AI36" s="30"/>
      <c r="AJ36" s="30"/>
      <c r="AK36" s="30"/>
      <c r="AL36" s="30"/>
      <c r="AM36" s="30">
        <v>0</v>
      </c>
      <c r="AN36" s="30">
        <v>500</v>
      </c>
      <c r="AO36" s="30">
        <v>0</v>
      </c>
      <c r="AP36" s="30">
        <v>700</v>
      </c>
      <c r="AQ36" s="30">
        <v>0</v>
      </c>
      <c r="AR36" s="30">
        <v>875</v>
      </c>
      <c r="AS36" s="30">
        <v>0</v>
      </c>
      <c r="AT36" s="30">
        <v>1100</v>
      </c>
      <c r="AU36" s="42">
        <v>0</v>
      </c>
      <c r="AV36" s="42">
        <v>1550</v>
      </c>
      <c r="AW36" s="30">
        <v>0</v>
      </c>
      <c r="AX36" s="30">
        <v>1770</v>
      </c>
      <c r="AY36" s="30">
        <v>0</v>
      </c>
      <c r="AZ36" s="30">
        <v>2150</v>
      </c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</row>
    <row r="37" spans="8:74" ht="13.5" thickBot="1">
      <c r="H37" s="60" t="s">
        <v>105</v>
      </c>
      <c r="I37" s="21">
        <v>2.71828182818281</v>
      </c>
      <c r="O37" s="44">
        <f t="shared" si="26"/>
        <v>14</v>
      </c>
      <c r="P37" s="68">
        <v>250</v>
      </c>
      <c r="Q37" s="68" t="s">
        <v>117</v>
      </c>
      <c r="R37" s="44" t="str">
        <f t="shared" si="24"/>
        <v>Blu 1700.1 </v>
      </c>
      <c r="S37" s="45"/>
      <c r="T37" s="45">
        <f t="shared" si="25"/>
        <v>14</v>
      </c>
      <c r="U37" s="45" t="str">
        <f>AW9</f>
        <v>Blu 1700.1 </v>
      </c>
      <c r="V37" s="40">
        <f aca="true" t="shared" si="27" ref="V37:V58">V36+1</f>
        <v>30</v>
      </c>
      <c r="W37" s="40"/>
      <c r="X37" s="40"/>
      <c r="Y37" s="30">
        <v>0.5</v>
      </c>
      <c r="Z37" s="30">
        <v>70</v>
      </c>
      <c r="AA37" s="30">
        <v>0.5</v>
      </c>
      <c r="AB37" s="30">
        <v>106</v>
      </c>
      <c r="AC37" s="30">
        <v>0.5</v>
      </c>
      <c r="AD37" s="30">
        <v>116</v>
      </c>
      <c r="AE37" s="30">
        <v>0.8</v>
      </c>
      <c r="AF37" s="30">
        <v>170</v>
      </c>
      <c r="AG37" s="30">
        <v>0.5</v>
      </c>
      <c r="AH37" s="30">
        <v>235</v>
      </c>
      <c r="AI37" s="30"/>
      <c r="AJ37" s="30"/>
      <c r="AK37" s="30"/>
      <c r="AL37" s="30"/>
      <c r="AM37" s="30">
        <v>1.7</v>
      </c>
      <c r="AN37" s="30">
        <v>500</v>
      </c>
      <c r="AO37" s="30">
        <v>1.7</v>
      </c>
      <c r="AP37" s="30">
        <v>700</v>
      </c>
      <c r="AQ37" s="30">
        <v>3</v>
      </c>
      <c r="AR37" s="30">
        <v>875</v>
      </c>
      <c r="AS37" s="30">
        <v>1</v>
      </c>
      <c r="AT37" s="30">
        <v>1100</v>
      </c>
      <c r="AU37" s="42">
        <v>2</v>
      </c>
      <c r="AV37" s="42">
        <v>1550</v>
      </c>
      <c r="AW37" s="30">
        <v>10</v>
      </c>
      <c r="AX37" s="30">
        <v>1260</v>
      </c>
      <c r="AY37" s="30">
        <v>11</v>
      </c>
      <c r="AZ37" s="30">
        <v>1200</v>
      </c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4"/>
      <c r="BN37" s="44"/>
      <c r="BO37" s="44"/>
      <c r="BP37" s="44"/>
      <c r="BQ37" s="44"/>
      <c r="BR37" s="44"/>
      <c r="BS37" s="44"/>
      <c r="BT37" s="44"/>
      <c r="BU37" s="44"/>
      <c r="BV37" s="44"/>
    </row>
    <row r="38" spans="4:74" ht="13.5" thickBot="1">
      <c r="D38" s="160">
        <f>Grafico!R22</f>
        <v>0</v>
      </c>
      <c r="E38" s="161"/>
      <c r="H38" t="s">
        <v>106</v>
      </c>
      <c r="I38" s="21">
        <f>-(0.0001*D38)</f>
        <v>0</v>
      </c>
      <c r="M38" s="1" t="s">
        <v>42</v>
      </c>
      <c r="O38" s="44">
        <f t="shared" si="26"/>
        <v>15</v>
      </c>
      <c r="P38" s="68">
        <v>270</v>
      </c>
      <c r="Q38" s="68" t="s">
        <v>118</v>
      </c>
      <c r="R38" s="44" t="str">
        <f t="shared" si="24"/>
        <v>Blu 2000.1 </v>
      </c>
      <c r="S38" s="45"/>
      <c r="T38" s="45">
        <f t="shared" si="25"/>
        <v>15</v>
      </c>
      <c r="U38" s="45" t="str">
        <f>AY9</f>
        <v>Blu 2000.1 </v>
      </c>
      <c r="V38" s="40">
        <f t="shared" si="27"/>
        <v>31</v>
      </c>
      <c r="W38" s="40"/>
      <c r="X38" s="40"/>
      <c r="Y38" s="30">
        <v>3</v>
      </c>
      <c r="Z38" s="30">
        <v>60</v>
      </c>
      <c r="AA38" s="30">
        <v>3.5</v>
      </c>
      <c r="AB38" s="30">
        <v>84</v>
      </c>
      <c r="AC38" s="30">
        <v>3.5</v>
      </c>
      <c r="AD38" s="30">
        <v>84</v>
      </c>
      <c r="AE38" s="30">
        <v>5</v>
      </c>
      <c r="AF38" s="30">
        <v>135</v>
      </c>
      <c r="AG38" s="30">
        <v>5</v>
      </c>
      <c r="AH38" s="30">
        <v>165</v>
      </c>
      <c r="AI38" s="30"/>
      <c r="AJ38" s="30"/>
      <c r="AK38" s="30"/>
      <c r="AL38" s="30"/>
      <c r="AM38" s="30">
        <v>6.5</v>
      </c>
      <c r="AN38" s="30">
        <v>400</v>
      </c>
      <c r="AO38" s="30">
        <v>7</v>
      </c>
      <c r="AP38" s="30">
        <v>600</v>
      </c>
      <c r="AQ38" s="30">
        <v>8</v>
      </c>
      <c r="AR38" s="30">
        <v>720</v>
      </c>
      <c r="AS38" s="30">
        <v>8.5</v>
      </c>
      <c r="AT38" s="30">
        <v>775</v>
      </c>
      <c r="AU38" s="42">
        <v>10</v>
      </c>
      <c r="AV38" s="42">
        <v>1350</v>
      </c>
      <c r="AW38" s="30">
        <v>10</v>
      </c>
      <c r="AX38" s="30">
        <v>700</v>
      </c>
      <c r="AY38" s="30">
        <v>11</v>
      </c>
      <c r="AZ38" s="30">
        <v>900</v>
      </c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4"/>
      <c r="BN38" s="44"/>
      <c r="BO38" s="44"/>
      <c r="BP38" s="44"/>
      <c r="BQ38" s="44"/>
      <c r="BR38" s="44"/>
      <c r="BS38" s="44"/>
      <c r="BT38" s="44"/>
      <c r="BU38" s="44"/>
      <c r="BV38" s="44"/>
    </row>
    <row r="39" spans="4:74" ht="13.5" thickBot="1">
      <c r="D39" s="164"/>
      <c r="E39" s="165"/>
      <c r="M39" s="1" t="s">
        <v>41</v>
      </c>
      <c r="N39" s="1"/>
      <c r="O39" s="44">
        <f t="shared" si="26"/>
        <v>16</v>
      </c>
      <c r="P39" s="68">
        <v>290</v>
      </c>
      <c r="Q39" s="68" t="s">
        <v>119</v>
      </c>
      <c r="R39" s="44" t="str">
        <f t="shared" si="24"/>
        <v>Blu 3000.1 </v>
      </c>
      <c r="S39" s="45"/>
      <c r="T39" s="45">
        <f t="shared" si="25"/>
        <v>16</v>
      </c>
      <c r="U39" s="45" t="str">
        <f>BA9</f>
        <v>Blu 3000.1 </v>
      </c>
      <c r="V39" s="40">
        <f t="shared" si="27"/>
        <v>32</v>
      </c>
      <c r="W39" s="40"/>
      <c r="X39" s="40"/>
      <c r="Y39" s="30">
        <v>3</v>
      </c>
      <c r="Z39" s="30">
        <v>40</v>
      </c>
      <c r="AA39" s="30">
        <v>3.5</v>
      </c>
      <c r="AB39" s="30">
        <v>70</v>
      </c>
      <c r="AC39" s="30">
        <v>3.5</v>
      </c>
      <c r="AD39" s="30">
        <v>70</v>
      </c>
      <c r="AE39" s="30">
        <v>5</v>
      </c>
      <c r="AF39" s="30">
        <v>95</v>
      </c>
      <c r="AG39" s="30">
        <v>5</v>
      </c>
      <c r="AH39" s="30">
        <v>95</v>
      </c>
      <c r="AI39" s="30"/>
      <c r="AJ39" s="30"/>
      <c r="AK39" s="30"/>
      <c r="AL39" s="30"/>
      <c r="AM39" s="30">
        <v>6.5</v>
      </c>
      <c r="AN39" s="30">
        <v>330</v>
      </c>
      <c r="AO39" s="30">
        <v>7</v>
      </c>
      <c r="AP39" s="30">
        <v>430</v>
      </c>
      <c r="AQ39" s="30">
        <v>8</v>
      </c>
      <c r="AR39" s="30">
        <v>520</v>
      </c>
      <c r="AS39" s="30">
        <v>8.5</v>
      </c>
      <c r="AT39" s="30">
        <v>600</v>
      </c>
      <c r="AU39" s="42">
        <v>10</v>
      </c>
      <c r="AV39" s="42">
        <v>750</v>
      </c>
      <c r="AW39" s="30">
        <v>6</v>
      </c>
      <c r="AX39" s="30">
        <v>342</v>
      </c>
      <c r="AY39" s="30">
        <v>5.5</v>
      </c>
      <c r="AZ39" s="30">
        <v>414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4"/>
      <c r="BN39" s="44"/>
      <c r="BO39" s="44"/>
      <c r="BP39" s="44"/>
      <c r="BQ39" s="44"/>
      <c r="BR39" s="44"/>
      <c r="BS39" s="44"/>
      <c r="BT39" s="44"/>
      <c r="BU39" s="44"/>
      <c r="BV39" s="44"/>
    </row>
    <row r="40" spans="15:74" ht="12.75">
      <c r="O40" s="44">
        <f t="shared" si="26"/>
        <v>17</v>
      </c>
      <c r="P40" s="68">
        <v>320</v>
      </c>
      <c r="Q40" s="68" t="s">
        <v>120</v>
      </c>
      <c r="R40" s="44" t="str">
        <f t="shared" si="24"/>
        <v>Blu 4000.1 </v>
      </c>
      <c r="S40" s="45"/>
      <c r="T40" s="45">
        <f t="shared" si="25"/>
        <v>17</v>
      </c>
      <c r="U40" s="45" t="str">
        <f>BC9</f>
        <v>Blu 4000.1 </v>
      </c>
      <c r="V40" s="40">
        <f t="shared" si="27"/>
        <v>33</v>
      </c>
      <c r="W40" s="40"/>
      <c r="X40" s="40"/>
      <c r="Y40" s="30">
        <v>1.3</v>
      </c>
      <c r="Z40" s="30">
        <v>25</v>
      </c>
      <c r="AA40" s="30">
        <v>1.8</v>
      </c>
      <c r="AB40" s="30">
        <v>40</v>
      </c>
      <c r="AC40" s="30">
        <v>1.8</v>
      </c>
      <c r="AD40" s="30">
        <v>40</v>
      </c>
      <c r="AE40" s="30">
        <v>1.4</v>
      </c>
      <c r="AF40" s="30">
        <v>55</v>
      </c>
      <c r="AG40" s="30">
        <v>1.4</v>
      </c>
      <c r="AH40" s="30">
        <v>55</v>
      </c>
      <c r="AI40" s="30"/>
      <c r="AJ40" s="30"/>
      <c r="AK40" s="30"/>
      <c r="AL40" s="30"/>
      <c r="AM40" s="30">
        <v>2.8</v>
      </c>
      <c r="AN40" s="30">
        <v>230</v>
      </c>
      <c r="AO40" s="30">
        <v>3.2</v>
      </c>
      <c r="AP40" s="30">
        <v>270</v>
      </c>
      <c r="AQ40" s="30">
        <v>2.5</v>
      </c>
      <c r="AR40" s="30">
        <v>280</v>
      </c>
      <c r="AS40" s="30">
        <v>3.2</v>
      </c>
      <c r="AT40" s="30">
        <v>290</v>
      </c>
      <c r="AU40" s="42">
        <v>6</v>
      </c>
      <c r="AV40" s="42">
        <v>500</v>
      </c>
      <c r="AW40" s="30">
        <v>0</v>
      </c>
      <c r="AX40" s="30">
        <v>342</v>
      </c>
      <c r="AY40" s="30">
        <v>0</v>
      </c>
      <c r="AZ40" s="30">
        <v>414</v>
      </c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4"/>
      <c r="BN40" s="44"/>
      <c r="BO40" s="44"/>
      <c r="BP40" s="44"/>
      <c r="BQ40" s="44"/>
      <c r="BR40" s="44"/>
      <c r="BS40" s="44"/>
      <c r="BT40" s="44"/>
      <c r="BU40" s="44"/>
      <c r="BV40" s="44"/>
    </row>
    <row r="41" spans="15:74" ht="12.75">
      <c r="O41" s="44">
        <f t="shared" si="26"/>
        <v>18</v>
      </c>
      <c r="P41" s="68">
        <v>320</v>
      </c>
      <c r="Q41" s="68" t="s">
        <v>121</v>
      </c>
      <c r="R41" s="44" t="str">
        <f t="shared" si="24"/>
        <v>Blu 5000.1 </v>
      </c>
      <c r="S41" s="45"/>
      <c r="T41" s="45">
        <f t="shared" si="25"/>
        <v>18</v>
      </c>
      <c r="U41" s="45" t="str">
        <f>BE9</f>
        <v>Blu 5000.1 </v>
      </c>
      <c r="V41" s="40">
        <f t="shared" si="27"/>
        <v>34</v>
      </c>
      <c r="W41" s="40"/>
      <c r="X41" s="40"/>
      <c r="Y41" s="30">
        <v>0</v>
      </c>
      <c r="Z41" s="30">
        <v>25</v>
      </c>
      <c r="AA41" s="30">
        <v>0</v>
      </c>
      <c r="AB41" s="30">
        <v>40</v>
      </c>
      <c r="AC41" s="30">
        <v>0</v>
      </c>
      <c r="AD41" s="30">
        <v>40</v>
      </c>
      <c r="AE41" s="30">
        <v>0</v>
      </c>
      <c r="AF41" s="30">
        <v>55</v>
      </c>
      <c r="AG41" s="30">
        <v>0</v>
      </c>
      <c r="AH41" s="30">
        <v>55</v>
      </c>
      <c r="AI41" s="30"/>
      <c r="AJ41" s="30"/>
      <c r="AK41" s="30"/>
      <c r="AL41" s="30"/>
      <c r="AM41" s="30">
        <v>0</v>
      </c>
      <c r="AN41" s="30">
        <v>230</v>
      </c>
      <c r="AO41" s="30">
        <v>0</v>
      </c>
      <c r="AP41" s="30">
        <v>270</v>
      </c>
      <c r="AQ41" s="30">
        <v>0</v>
      </c>
      <c r="AR41" s="30">
        <v>280</v>
      </c>
      <c r="AS41" s="30">
        <v>0</v>
      </c>
      <c r="AT41" s="30">
        <v>290</v>
      </c>
      <c r="AU41" s="42">
        <v>0</v>
      </c>
      <c r="AV41" s="42">
        <v>380</v>
      </c>
      <c r="AW41" s="30">
        <v>0</v>
      </c>
      <c r="AX41" s="30">
        <v>1770</v>
      </c>
      <c r="AY41" s="30">
        <v>0</v>
      </c>
      <c r="AZ41" s="30">
        <v>2150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4"/>
      <c r="BN41" s="44"/>
      <c r="BO41" s="44"/>
      <c r="BP41" s="44"/>
      <c r="BQ41" s="44"/>
      <c r="BR41" s="44"/>
      <c r="BS41" s="44"/>
      <c r="BT41" s="44"/>
      <c r="BU41" s="44"/>
      <c r="BV41" s="44"/>
    </row>
    <row r="42" spans="15:74" ht="13.5" thickBot="1">
      <c r="O42" s="44">
        <f t="shared" si="26"/>
        <v>19</v>
      </c>
      <c r="P42" s="68">
        <v>320</v>
      </c>
      <c r="Q42" s="68" t="s">
        <v>121</v>
      </c>
      <c r="R42" s="44" t="str">
        <f t="shared" si="24"/>
        <v>Blu 6000.1 </v>
      </c>
      <c r="S42" s="45"/>
      <c r="T42" s="45">
        <f t="shared" si="25"/>
        <v>19</v>
      </c>
      <c r="U42" s="45" t="str">
        <f>BG9</f>
        <v>Blu 6000.1 </v>
      </c>
      <c r="V42" s="40">
        <f t="shared" si="27"/>
        <v>35</v>
      </c>
      <c r="W42" s="40"/>
      <c r="X42" s="40"/>
      <c r="Y42" s="30">
        <v>0</v>
      </c>
      <c r="Z42" s="30">
        <v>70</v>
      </c>
      <c r="AA42" s="30">
        <v>0</v>
      </c>
      <c r="AB42" s="30">
        <v>108</v>
      </c>
      <c r="AC42" s="30">
        <v>0</v>
      </c>
      <c r="AD42" s="30">
        <v>120</v>
      </c>
      <c r="AE42" s="30">
        <v>0</v>
      </c>
      <c r="AF42" s="30">
        <v>175</v>
      </c>
      <c r="AG42" s="30">
        <v>0</v>
      </c>
      <c r="AH42" s="30">
        <v>240</v>
      </c>
      <c r="AI42" s="30"/>
      <c r="AJ42" s="30"/>
      <c r="AK42" s="30"/>
      <c r="AL42" s="30"/>
      <c r="AM42" s="30">
        <v>0</v>
      </c>
      <c r="AN42" s="30">
        <v>500</v>
      </c>
      <c r="AO42" s="30">
        <v>0</v>
      </c>
      <c r="AP42" s="30">
        <v>700</v>
      </c>
      <c r="AQ42" s="30">
        <v>0</v>
      </c>
      <c r="AR42" s="30">
        <v>875</v>
      </c>
      <c r="AS42" s="30">
        <v>0</v>
      </c>
      <c r="AT42" s="30">
        <v>1100</v>
      </c>
      <c r="AU42" s="42">
        <v>0</v>
      </c>
      <c r="AV42" s="42">
        <v>1550</v>
      </c>
      <c r="AW42" s="30">
        <v>0</v>
      </c>
      <c r="AX42" s="30">
        <v>1770</v>
      </c>
      <c r="AY42" s="30">
        <v>0</v>
      </c>
      <c r="AZ42" s="30">
        <v>2150</v>
      </c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4"/>
      <c r="BN42" s="44"/>
      <c r="BO42" s="44"/>
      <c r="BP42" s="44"/>
      <c r="BQ42" s="44"/>
      <c r="BR42" s="44"/>
      <c r="BS42" s="44"/>
      <c r="BT42" s="44"/>
      <c r="BU42" s="44"/>
      <c r="BV42" s="44"/>
    </row>
    <row r="43" spans="3:74" ht="12.75">
      <c r="C43">
        <v>0</v>
      </c>
      <c r="D43">
        <v>100</v>
      </c>
      <c r="H43" s="160">
        <f>100.46*(POWER(I37,I38))</f>
        <v>100.46</v>
      </c>
      <c r="I43" s="161"/>
      <c r="J43" s="160">
        <f>(-0.0085*D38)+99.428</f>
        <v>99.428</v>
      </c>
      <c r="K43" s="161"/>
      <c r="O43" s="44">
        <f t="shared" si="26"/>
        <v>20</v>
      </c>
      <c r="P43" s="68">
        <v>420</v>
      </c>
      <c r="Q43" s="68">
        <v>470</v>
      </c>
      <c r="R43" s="44" t="str">
        <f t="shared" si="24"/>
        <v>Blu 7000.1 </v>
      </c>
      <c r="S43" s="45"/>
      <c r="T43" s="45">
        <f>T42+1</f>
        <v>20</v>
      </c>
      <c r="U43" s="45" t="str">
        <f>BI9</f>
        <v>Blu 7000.1 </v>
      </c>
      <c r="V43" s="40">
        <f t="shared" si="27"/>
        <v>36</v>
      </c>
      <c r="W43" s="40"/>
      <c r="X43" s="40"/>
      <c r="Y43" s="30">
        <v>0</v>
      </c>
      <c r="Z43" s="30">
        <v>70</v>
      </c>
      <c r="AA43" s="30">
        <v>0</v>
      </c>
      <c r="AB43" s="30">
        <v>108</v>
      </c>
      <c r="AC43" s="30">
        <v>0</v>
      </c>
      <c r="AD43" s="30">
        <v>120</v>
      </c>
      <c r="AE43" s="30">
        <v>0</v>
      </c>
      <c r="AF43" s="30">
        <v>175</v>
      </c>
      <c r="AG43" s="30">
        <v>0</v>
      </c>
      <c r="AH43" s="30">
        <v>240</v>
      </c>
      <c r="AI43" s="30"/>
      <c r="AJ43" s="30"/>
      <c r="AK43" s="30"/>
      <c r="AL43" s="30"/>
      <c r="AM43" s="30"/>
      <c r="AN43" s="30"/>
      <c r="AO43" s="30">
        <v>0</v>
      </c>
      <c r="AP43" s="30">
        <v>700</v>
      </c>
      <c r="AQ43" s="30">
        <v>0</v>
      </c>
      <c r="AR43" s="30">
        <v>875</v>
      </c>
      <c r="AS43" s="30">
        <v>0</v>
      </c>
      <c r="AT43" s="30">
        <v>1100</v>
      </c>
      <c r="AU43" s="42">
        <v>0</v>
      </c>
      <c r="AV43" s="42">
        <v>1550</v>
      </c>
      <c r="AW43" s="30">
        <v>0</v>
      </c>
      <c r="AX43" s="30">
        <v>1770</v>
      </c>
      <c r="AY43" s="30">
        <v>0</v>
      </c>
      <c r="AZ43" s="30">
        <v>2150</v>
      </c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4"/>
      <c r="BN43" s="44"/>
      <c r="BO43" s="44"/>
      <c r="BP43" s="44"/>
      <c r="BQ43" s="44"/>
      <c r="BR43" s="44"/>
      <c r="BS43" s="44"/>
      <c r="BT43" s="44"/>
      <c r="BU43" s="44"/>
      <c r="BV43" s="44"/>
    </row>
    <row r="44" spans="3:74" ht="12.75">
      <c r="C44">
        <v>500</v>
      </c>
      <c r="D44">
        <v>95</v>
      </c>
      <c r="H44" s="162"/>
      <c r="I44" s="163"/>
      <c r="J44" s="162"/>
      <c r="K44" s="163"/>
      <c r="O44" s="44">
        <f t="shared" si="26"/>
        <v>21</v>
      </c>
      <c r="P44" s="68">
        <v>420</v>
      </c>
      <c r="Q44" s="68">
        <v>470</v>
      </c>
      <c r="R44" s="44" t="str">
        <f t="shared" si="24"/>
        <v>Blu 8000.1 </v>
      </c>
      <c r="S44" s="45"/>
      <c r="T44" s="45">
        <f>T43+1</f>
        <v>21</v>
      </c>
      <c r="U44" s="45" t="str">
        <f>BK9</f>
        <v>Blu 8000.1 </v>
      </c>
      <c r="V44" s="40">
        <f t="shared" si="27"/>
        <v>37</v>
      </c>
      <c r="W44" s="40"/>
      <c r="X44" s="40"/>
      <c r="Y44" s="30">
        <v>0</v>
      </c>
      <c r="Z44" s="30">
        <v>70</v>
      </c>
      <c r="AA44" s="30">
        <v>0</v>
      </c>
      <c r="AB44" s="30">
        <v>108</v>
      </c>
      <c r="AC44" s="30">
        <v>0</v>
      </c>
      <c r="AD44" s="30">
        <v>120</v>
      </c>
      <c r="AE44" s="30">
        <v>0</v>
      </c>
      <c r="AF44" s="30">
        <v>175</v>
      </c>
      <c r="AG44" s="30">
        <v>0</v>
      </c>
      <c r="AH44" s="30">
        <v>240</v>
      </c>
      <c r="AI44" s="30"/>
      <c r="AJ44" s="30"/>
      <c r="AK44" s="30"/>
      <c r="AL44" s="30"/>
      <c r="AM44" s="30"/>
      <c r="AN44" s="30"/>
      <c r="AO44" s="30">
        <v>0</v>
      </c>
      <c r="AP44" s="30">
        <v>700</v>
      </c>
      <c r="AQ44" s="30">
        <v>0</v>
      </c>
      <c r="AR44" s="30">
        <v>875</v>
      </c>
      <c r="AS44" s="30">
        <v>0</v>
      </c>
      <c r="AT44" s="30">
        <v>1100</v>
      </c>
      <c r="AU44" s="42">
        <v>0</v>
      </c>
      <c r="AV44" s="42">
        <v>1550</v>
      </c>
      <c r="AW44" s="30">
        <v>0</v>
      </c>
      <c r="AX44" s="30">
        <v>1770</v>
      </c>
      <c r="AY44" s="30">
        <v>0</v>
      </c>
      <c r="AZ44" s="30">
        <v>2150</v>
      </c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4"/>
      <c r="BN44" s="44"/>
      <c r="BO44" s="44"/>
      <c r="BP44" s="44"/>
      <c r="BQ44" s="44"/>
      <c r="BR44" s="44"/>
      <c r="BS44" s="44"/>
      <c r="BT44" s="44"/>
      <c r="BU44" s="44"/>
      <c r="BV44" s="44"/>
    </row>
    <row r="45" spans="3:74" ht="12.75">
      <c r="C45">
        <v>1000</v>
      </c>
      <c r="D45">
        <v>91</v>
      </c>
      <c r="H45" s="162"/>
      <c r="I45" s="163"/>
      <c r="J45" s="162"/>
      <c r="K45" s="163"/>
      <c r="O45" s="44">
        <f t="shared" si="26"/>
        <v>22</v>
      </c>
      <c r="P45" s="68">
        <v>420</v>
      </c>
      <c r="Q45" s="68">
        <v>470</v>
      </c>
      <c r="R45" s="44" t="str">
        <f t="shared" si="24"/>
        <v>Blu 10000.1 </v>
      </c>
      <c r="S45" s="45"/>
      <c r="T45" s="45">
        <f>T44+1</f>
        <v>22</v>
      </c>
      <c r="U45" s="45" t="str">
        <f>BM9</f>
        <v>Blu 10000.1 </v>
      </c>
      <c r="V45" s="40">
        <f t="shared" si="27"/>
        <v>38</v>
      </c>
      <c r="W45" s="40"/>
      <c r="X45" s="40"/>
      <c r="Y45" s="30">
        <v>0</v>
      </c>
      <c r="Z45" s="30">
        <v>70</v>
      </c>
      <c r="AA45" s="30">
        <v>0</v>
      </c>
      <c r="AB45" s="30">
        <v>108</v>
      </c>
      <c r="AC45" s="30">
        <v>0</v>
      </c>
      <c r="AD45" s="30">
        <v>120</v>
      </c>
      <c r="AE45" s="30">
        <v>0</v>
      </c>
      <c r="AF45" s="30">
        <v>175</v>
      </c>
      <c r="AG45" s="30">
        <v>0</v>
      </c>
      <c r="AH45" s="30">
        <v>240</v>
      </c>
      <c r="AI45" s="30"/>
      <c r="AJ45" s="30"/>
      <c r="AK45" s="30"/>
      <c r="AL45" s="30"/>
      <c r="AM45" s="30"/>
      <c r="AN45" s="30"/>
      <c r="AO45" s="30">
        <v>0</v>
      </c>
      <c r="AP45" s="30">
        <v>700</v>
      </c>
      <c r="AQ45" s="30">
        <v>0</v>
      </c>
      <c r="AR45" s="30">
        <v>875</v>
      </c>
      <c r="AS45" s="30">
        <v>0</v>
      </c>
      <c r="AT45" s="30">
        <v>1100</v>
      </c>
      <c r="AU45" s="42">
        <v>0</v>
      </c>
      <c r="AV45" s="42">
        <v>1550</v>
      </c>
      <c r="AW45" s="30">
        <v>0</v>
      </c>
      <c r="AX45" s="30">
        <v>1770</v>
      </c>
      <c r="AY45" s="30">
        <v>0</v>
      </c>
      <c r="AZ45" s="30">
        <v>2150</v>
      </c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4"/>
      <c r="BN45" s="44"/>
      <c r="BO45" s="44"/>
      <c r="BP45" s="44"/>
      <c r="BQ45" s="44"/>
      <c r="BR45" s="44"/>
      <c r="BS45" s="44"/>
      <c r="BT45" s="44"/>
      <c r="BU45" s="44"/>
      <c r="BV45" s="44"/>
    </row>
    <row r="46" spans="3:74" ht="13.5" thickBot="1">
      <c r="C46">
        <v>1500</v>
      </c>
      <c r="D46">
        <v>86</v>
      </c>
      <c r="H46" s="164"/>
      <c r="I46" s="165"/>
      <c r="J46" s="164"/>
      <c r="K46" s="165"/>
      <c r="O46" s="44">
        <f t="shared" si="26"/>
        <v>23</v>
      </c>
      <c r="P46" s="68">
        <v>450</v>
      </c>
      <c r="Q46" s="68">
        <v>470</v>
      </c>
      <c r="R46" s="44" t="str">
        <f t="shared" si="24"/>
        <v>Blu 12000.1</v>
      </c>
      <c r="S46" s="45"/>
      <c r="T46" s="45">
        <f>T45+1</f>
        <v>23</v>
      </c>
      <c r="U46" s="45" t="str">
        <f>BO9</f>
        <v>Blu 12000.1</v>
      </c>
      <c r="V46" s="40">
        <f t="shared" si="27"/>
        <v>39</v>
      </c>
      <c r="W46" s="40"/>
      <c r="X46" s="40"/>
      <c r="Y46" s="30">
        <v>0</v>
      </c>
      <c r="Z46" s="30">
        <v>70</v>
      </c>
      <c r="AA46" s="30">
        <v>0</v>
      </c>
      <c r="AB46" s="30">
        <v>108</v>
      </c>
      <c r="AC46" s="30">
        <v>0</v>
      </c>
      <c r="AD46" s="30">
        <v>120</v>
      </c>
      <c r="AE46" s="30">
        <v>0</v>
      </c>
      <c r="AF46" s="30">
        <v>175</v>
      </c>
      <c r="AG46" s="30">
        <v>0</v>
      </c>
      <c r="AH46" s="30">
        <v>240</v>
      </c>
      <c r="AI46" s="30"/>
      <c r="AJ46" s="30"/>
      <c r="AK46" s="30"/>
      <c r="AL46" s="30"/>
      <c r="AM46" s="30"/>
      <c r="AN46" s="30"/>
      <c r="AO46" s="30">
        <v>0</v>
      </c>
      <c r="AP46" s="30">
        <v>700</v>
      </c>
      <c r="AQ46" s="30">
        <v>0</v>
      </c>
      <c r="AR46" s="30">
        <v>875</v>
      </c>
      <c r="AS46" s="30">
        <v>0</v>
      </c>
      <c r="AT46" s="30">
        <v>1100</v>
      </c>
      <c r="AU46" s="42">
        <v>0</v>
      </c>
      <c r="AV46" s="42">
        <v>1550</v>
      </c>
      <c r="AW46" s="30">
        <v>0</v>
      </c>
      <c r="AX46" s="30">
        <v>1770</v>
      </c>
      <c r="AY46" s="30">
        <v>0</v>
      </c>
      <c r="AZ46" s="30">
        <v>2150</v>
      </c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4"/>
      <c r="BN46" s="44"/>
      <c r="BO46" s="44"/>
      <c r="BP46" s="44"/>
      <c r="BQ46" s="44"/>
      <c r="BR46" s="44"/>
      <c r="BS46" s="44"/>
      <c r="BT46" s="44"/>
      <c r="BU46" s="44"/>
      <c r="BV46" s="44"/>
    </row>
    <row r="47" spans="3:74" ht="13.5" thickBot="1">
      <c r="C47">
        <v>2000</v>
      </c>
      <c r="D47">
        <v>82</v>
      </c>
      <c r="O47" s="44">
        <f t="shared" si="26"/>
        <v>24</v>
      </c>
      <c r="P47" s="68">
        <v>550</v>
      </c>
      <c r="Q47" s="68">
        <v>590</v>
      </c>
      <c r="R47" s="44" t="str">
        <f t="shared" si="24"/>
        <v>Blu 15000.1</v>
      </c>
      <c r="S47" s="45"/>
      <c r="T47" s="45">
        <f>T46+1</f>
        <v>24</v>
      </c>
      <c r="U47" s="45" t="str">
        <f>BQ9</f>
        <v>Blu 15000.1</v>
      </c>
      <c r="V47" s="40">
        <f t="shared" si="27"/>
        <v>40</v>
      </c>
      <c r="W47" s="40"/>
      <c r="X47" s="40"/>
      <c r="Y47" s="39" t="str">
        <f aca="true" t="shared" si="28" ref="Y47:Y54">Z35</f>
        <v>potenza</v>
      </c>
      <c r="Z47" s="40"/>
      <c r="AA47" s="39" t="str">
        <f aca="true" t="shared" si="29" ref="AA47:AA54">AB35</f>
        <v>potenza</v>
      </c>
      <c r="AB47" s="40"/>
      <c r="AC47" s="39" t="str">
        <f aca="true" t="shared" si="30" ref="AC47:AC58">AD35</f>
        <v>potenza</v>
      </c>
      <c r="AD47" s="40"/>
      <c r="AE47" s="39" t="str">
        <f aca="true" t="shared" si="31" ref="AE47:AE58">AF35</f>
        <v>potenza</v>
      </c>
      <c r="AF47" s="40"/>
      <c r="AG47" s="39" t="str">
        <f aca="true" t="shared" si="32" ref="AG47:AG58">AH35</f>
        <v>potenza</v>
      </c>
      <c r="AH47" s="40"/>
      <c r="AI47" s="39"/>
      <c r="AJ47" s="40"/>
      <c r="AK47" s="39" t="str">
        <f aca="true" t="shared" si="33" ref="AK47:AK58">AL35</f>
        <v>potenza</v>
      </c>
      <c r="AL47" s="40"/>
      <c r="AM47" s="39" t="str">
        <f aca="true" t="shared" si="34" ref="AM47:AM58">AN35</f>
        <v>potenza</v>
      </c>
      <c r="AN47" s="40"/>
      <c r="AO47" s="39" t="str">
        <f aca="true" t="shared" si="35" ref="AO47:AO58">AP35</f>
        <v>potenza</v>
      </c>
      <c r="AP47" s="40"/>
      <c r="AQ47" s="39" t="str">
        <f aca="true" t="shared" si="36" ref="AQ47:AQ58">AR35</f>
        <v>potenza</v>
      </c>
      <c r="AR47" s="40"/>
      <c r="AS47" s="39" t="str">
        <f aca="true" t="shared" si="37" ref="AS47:AS58">AT35</f>
        <v>potenza</v>
      </c>
      <c r="AT47" s="40"/>
      <c r="AU47" s="39" t="str">
        <f aca="true" t="shared" si="38" ref="AU47:AU58">AV35</f>
        <v>potenza</v>
      </c>
      <c r="AV47" s="40"/>
      <c r="AW47" s="39" t="str">
        <f aca="true" t="shared" si="39" ref="AW47:AW58">AX35</f>
        <v>potenza</v>
      </c>
      <c r="AX47" s="40"/>
      <c r="AY47" s="39" t="str">
        <f aca="true" t="shared" si="40" ref="AY47:AY58">AZ35</f>
        <v>potenza</v>
      </c>
      <c r="AZ47" s="40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4"/>
      <c r="BN47" s="44"/>
      <c r="BO47" s="44"/>
      <c r="BP47" s="44"/>
      <c r="BQ47" s="44"/>
      <c r="BR47" s="44"/>
      <c r="BS47" s="44"/>
      <c r="BT47" s="44"/>
      <c r="BU47" s="44"/>
      <c r="BV47" s="44"/>
    </row>
    <row r="48" spans="3:74" ht="12.75">
      <c r="C48">
        <v>2500</v>
      </c>
      <c r="D48">
        <v>78</v>
      </c>
      <c r="I48" s="160">
        <f>(H43+J43)/2</f>
        <v>99.94399999999999</v>
      </c>
      <c r="J48" s="161"/>
      <c r="L48" s="160">
        <f>I48/100</f>
        <v>0.9994399999999999</v>
      </c>
      <c r="M48" s="161"/>
      <c r="O48" s="44">
        <f t="shared" si="26"/>
        <v>25</v>
      </c>
      <c r="P48" s="68">
        <v>550</v>
      </c>
      <c r="Q48" s="68">
        <v>590</v>
      </c>
      <c r="R48" s="44" t="str">
        <f t="shared" si="24"/>
        <v>Bsslu 18000.1</v>
      </c>
      <c r="S48" s="45"/>
      <c r="T48" s="45">
        <v>25</v>
      </c>
      <c r="U48" s="45" t="str">
        <f>BS9</f>
        <v>Bsslu 18000.1</v>
      </c>
      <c r="V48" s="40">
        <f t="shared" si="27"/>
        <v>41</v>
      </c>
      <c r="W48" s="40"/>
      <c r="X48" s="40"/>
      <c r="Y48" s="39">
        <f t="shared" si="28"/>
        <v>70</v>
      </c>
      <c r="Z48" s="40"/>
      <c r="AA48" s="39">
        <f t="shared" si="29"/>
        <v>108</v>
      </c>
      <c r="AB48" s="40"/>
      <c r="AC48" s="39">
        <f t="shared" si="30"/>
        <v>120</v>
      </c>
      <c r="AD48" s="40"/>
      <c r="AE48" s="39">
        <f t="shared" si="31"/>
        <v>175</v>
      </c>
      <c r="AF48" s="40"/>
      <c r="AG48" s="39">
        <f t="shared" si="32"/>
        <v>240</v>
      </c>
      <c r="AH48" s="40"/>
      <c r="AI48" s="39"/>
      <c r="AJ48" s="40"/>
      <c r="AK48" s="39">
        <f t="shared" si="33"/>
        <v>0</v>
      </c>
      <c r="AL48" s="40"/>
      <c r="AM48" s="39">
        <f t="shared" si="34"/>
        <v>500</v>
      </c>
      <c r="AN48" s="40"/>
      <c r="AO48" s="39">
        <f t="shared" si="35"/>
        <v>700</v>
      </c>
      <c r="AP48" s="40"/>
      <c r="AQ48" s="39">
        <f t="shared" si="36"/>
        <v>875</v>
      </c>
      <c r="AR48" s="40"/>
      <c r="AS48" s="39">
        <f t="shared" si="37"/>
        <v>1100</v>
      </c>
      <c r="AT48" s="40"/>
      <c r="AU48" s="39">
        <f t="shared" si="38"/>
        <v>1550</v>
      </c>
      <c r="AV48" s="40"/>
      <c r="AW48" s="39">
        <f t="shared" si="39"/>
        <v>1770</v>
      </c>
      <c r="AX48" s="40"/>
      <c r="AY48" s="39">
        <f t="shared" si="40"/>
        <v>2150</v>
      </c>
      <c r="AZ48" s="40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4"/>
      <c r="BN48" s="44"/>
      <c r="BO48" s="44"/>
      <c r="BP48" s="44"/>
      <c r="BQ48" s="44"/>
      <c r="BR48" s="44"/>
      <c r="BS48" s="44"/>
      <c r="BT48" s="44"/>
      <c r="BU48" s="44"/>
      <c r="BV48" s="44"/>
    </row>
    <row r="49" spans="3:74" ht="13.5" thickBot="1">
      <c r="C49">
        <v>3000</v>
      </c>
      <c r="D49">
        <v>74</v>
      </c>
      <c r="I49" s="164"/>
      <c r="J49" s="165"/>
      <c r="L49" s="164"/>
      <c r="M49" s="165"/>
      <c r="O49" s="44"/>
      <c r="P49" s="44"/>
      <c r="Q49" s="44"/>
      <c r="R49" s="44"/>
      <c r="S49" s="45"/>
      <c r="T49" s="45"/>
      <c r="U49" s="45"/>
      <c r="V49" s="40">
        <f t="shared" si="27"/>
        <v>42</v>
      </c>
      <c r="W49" s="40"/>
      <c r="X49" s="40"/>
      <c r="Y49" s="39">
        <f t="shared" si="28"/>
        <v>70</v>
      </c>
      <c r="Z49" s="40"/>
      <c r="AA49" s="39">
        <f t="shared" si="29"/>
        <v>106</v>
      </c>
      <c r="AB49" s="40"/>
      <c r="AC49" s="39">
        <f t="shared" si="30"/>
        <v>116</v>
      </c>
      <c r="AD49" s="40"/>
      <c r="AE49" s="39">
        <f t="shared" si="31"/>
        <v>170</v>
      </c>
      <c r="AF49" s="40"/>
      <c r="AG49" s="39">
        <f t="shared" si="32"/>
        <v>235</v>
      </c>
      <c r="AH49" s="40"/>
      <c r="AI49" s="39"/>
      <c r="AJ49" s="40"/>
      <c r="AK49" s="39">
        <f t="shared" si="33"/>
        <v>0</v>
      </c>
      <c r="AL49" s="40"/>
      <c r="AM49" s="39">
        <f t="shared" si="34"/>
        <v>500</v>
      </c>
      <c r="AN49" s="40"/>
      <c r="AO49" s="39">
        <f t="shared" si="35"/>
        <v>700</v>
      </c>
      <c r="AP49" s="40"/>
      <c r="AQ49" s="39">
        <f t="shared" si="36"/>
        <v>875</v>
      </c>
      <c r="AR49" s="40"/>
      <c r="AS49" s="39">
        <f t="shared" si="37"/>
        <v>1100</v>
      </c>
      <c r="AT49" s="40"/>
      <c r="AU49" s="39">
        <f t="shared" si="38"/>
        <v>1550</v>
      </c>
      <c r="AV49" s="40"/>
      <c r="AW49" s="39">
        <f t="shared" si="39"/>
        <v>1260</v>
      </c>
      <c r="AX49" s="40"/>
      <c r="AY49" s="39">
        <f t="shared" si="40"/>
        <v>1200</v>
      </c>
      <c r="AZ49" s="40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4"/>
      <c r="BN49" s="44"/>
      <c r="BO49" s="44"/>
      <c r="BP49" s="44"/>
      <c r="BQ49" s="44"/>
      <c r="BR49" s="44"/>
      <c r="BS49" s="44"/>
      <c r="BT49" s="44"/>
      <c r="BU49" s="44"/>
      <c r="BV49" s="44"/>
    </row>
    <row r="50" spans="3:74" ht="12.75">
      <c r="C50">
        <v>3500</v>
      </c>
      <c r="D50">
        <v>70.5</v>
      </c>
      <c r="O50" s="44"/>
      <c r="P50" s="44"/>
      <c r="Q50" s="44"/>
      <c r="R50" s="44"/>
      <c r="S50" s="45"/>
      <c r="T50" s="45"/>
      <c r="U50" s="45"/>
      <c r="V50" s="40">
        <f t="shared" si="27"/>
        <v>43</v>
      </c>
      <c r="W50" s="40"/>
      <c r="X50" s="40"/>
      <c r="Y50" s="39">
        <f t="shared" si="28"/>
        <v>60</v>
      </c>
      <c r="Z50" s="40"/>
      <c r="AA50" s="39">
        <f t="shared" si="29"/>
        <v>84</v>
      </c>
      <c r="AB50" s="40"/>
      <c r="AC50" s="39">
        <f t="shared" si="30"/>
        <v>84</v>
      </c>
      <c r="AD50" s="40"/>
      <c r="AE50" s="39">
        <f t="shared" si="31"/>
        <v>135</v>
      </c>
      <c r="AF50" s="40"/>
      <c r="AG50" s="39">
        <f t="shared" si="32"/>
        <v>165</v>
      </c>
      <c r="AH50" s="40"/>
      <c r="AI50" s="39"/>
      <c r="AJ50" s="40"/>
      <c r="AK50" s="39">
        <f t="shared" si="33"/>
        <v>0</v>
      </c>
      <c r="AL50" s="40"/>
      <c r="AM50" s="39">
        <f t="shared" si="34"/>
        <v>400</v>
      </c>
      <c r="AN50" s="40"/>
      <c r="AO50" s="39">
        <f t="shared" si="35"/>
        <v>600</v>
      </c>
      <c r="AP50" s="40"/>
      <c r="AQ50" s="39">
        <f t="shared" si="36"/>
        <v>720</v>
      </c>
      <c r="AR50" s="40"/>
      <c r="AS50" s="39">
        <f t="shared" si="37"/>
        <v>775</v>
      </c>
      <c r="AT50" s="40"/>
      <c r="AU50" s="39">
        <f t="shared" si="38"/>
        <v>1350</v>
      </c>
      <c r="AV50" s="40"/>
      <c r="AW50" s="39">
        <f t="shared" si="39"/>
        <v>700</v>
      </c>
      <c r="AX50" s="40"/>
      <c r="AY50" s="39">
        <f t="shared" si="40"/>
        <v>900</v>
      </c>
      <c r="AZ50" s="40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4"/>
      <c r="BN50" s="44"/>
      <c r="BO50" s="44"/>
      <c r="BP50" s="44"/>
      <c r="BQ50" s="44"/>
      <c r="BR50" s="44"/>
      <c r="BS50" s="44"/>
      <c r="BT50" s="44"/>
      <c r="BU50" s="44"/>
      <c r="BV50" s="44"/>
    </row>
    <row r="51" spans="3:74" ht="12.75">
      <c r="C51">
        <v>3750</v>
      </c>
      <c r="D51">
        <v>67</v>
      </c>
      <c r="O51" s="44"/>
      <c r="P51" s="44"/>
      <c r="Q51" s="44"/>
      <c r="R51" s="44"/>
      <c r="S51" s="45"/>
      <c r="T51" s="45"/>
      <c r="U51" s="45"/>
      <c r="V51" s="40">
        <f t="shared" si="27"/>
        <v>44</v>
      </c>
      <c r="W51" s="40"/>
      <c r="X51" s="40"/>
      <c r="Y51" s="39">
        <f t="shared" si="28"/>
        <v>40</v>
      </c>
      <c r="Z51" s="40"/>
      <c r="AA51" s="39">
        <f t="shared" si="29"/>
        <v>70</v>
      </c>
      <c r="AB51" s="40"/>
      <c r="AC51" s="39">
        <f t="shared" si="30"/>
        <v>70</v>
      </c>
      <c r="AD51" s="40"/>
      <c r="AE51" s="39">
        <f t="shared" si="31"/>
        <v>95</v>
      </c>
      <c r="AF51" s="40"/>
      <c r="AG51" s="39">
        <f t="shared" si="32"/>
        <v>95</v>
      </c>
      <c r="AH51" s="40"/>
      <c r="AI51" s="39"/>
      <c r="AJ51" s="40"/>
      <c r="AK51" s="39">
        <f t="shared" si="33"/>
        <v>0</v>
      </c>
      <c r="AL51" s="40"/>
      <c r="AM51" s="39">
        <f t="shared" si="34"/>
        <v>330</v>
      </c>
      <c r="AN51" s="40"/>
      <c r="AO51" s="39">
        <f t="shared" si="35"/>
        <v>430</v>
      </c>
      <c r="AP51" s="40"/>
      <c r="AQ51" s="39">
        <f t="shared" si="36"/>
        <v>520</v>
      </c>
      <c r="AR51" s="40"/>
      <c r="AS51" s="39">
        <f t="shared" si="37"/>
        <v>600</v>
      </c>
      <c r="AT51" s="40"/>
      <c r="AU51" s="39">
        <f t="shared" si="38"/>
        <v>750</v>
      </c>
      <c r="AV51" s="40"/>
      <c r="AW51" s="39">
        <f t="shared" si="39"/>
        <v>342</v>
      </c>
      <c r="AX51" s="40"/>
      <c r="AY51" s="39">
        <f t="shared" si="40"/>
        <v>414</v>
      </c>
      <c r="AZ51" s="40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4"/>
      <c r="BN51" s="44"/>
      <c r="BO51" s="44"/>
      <c r="BP51" s="44"/>
      <c r="BQ51" s="44"/>
      <c r="BR51" s="44"/>
      <c r="BS51" s="44"/>
      <c r="BT51" s="44"/>
      <c r="BU51" s="44"/>
      <c r="BV51" s="44"/>
    </row>
    <row r="52" spans="15:74" ht="12.75">
      <c r="O52" s="44"/>
      <c r="P52" s="44"/>
      <c r="Q52" s="44"/>
      <c r="R52" s="44"/>
      <c r="S52" s="45"/>
      <c r="T52" s="45"/>
      <c r="U52" s="45"/>
      <c r="V52" s="40">
        <f t="shared" si="27"/>
        <v>45</v>
      </c>
      <c r="W52" s="40"/>
      <c r="X52" s="40"/>
      <c r="Y52" s="39">
        <f t="shared" si="28"/>
        <v>25</v>
      </c>
      <c r="Z52" s="40"/>
      <c r="AA52" s="39">
        <f t="shared" si="29"/>
        <v>40</v>
      </c>
      <c r="AB52" s="40"/>
      <c r="AC52" s="39">
        <f t="shared" si="30"/>
        <v>40</v>
      </c>
      <c r="AD52" s="40"/>
      <c r="AE52" s="39">
        <f t="shared" si="31"/>
        <v>55</v>
      </c>
      <c r="AF52" s="40"/>
      <c r="AG52" s="39">
        <f t="shared" si="32"/>
        <v>55</v>
      </c>
      <c r="AH52" s="40"/>
      <c r="AI52" s="39"/>
      <c r="AJ52" s="40"/>
      <c r="AK52" s="39">
        <f t="shared" si="33"/>
        <v>0</v>
      </c>
      <c r="AL52" s="40"/>
      <c r="AM52" s="39">
        <f t="shared" si="34"/>
        <v>230</v>
      </c>
      <c r="AN52" s="40"/>
      <c r="AO52" s="39">
        <f t="shared" si="35"/>
        <v>270</v>
      </c>
      <c r="AP52" s="40"/>
      <c r="AQ52" s="39">
        <f t="shared" si="36"/>
        <v>280</v>
      </c>
      <c r="AR52" s="40"/>
      <c r="AS52" s="39">
        <f t="shared" si="37"/>
        <v>290</v>
      </c>
      <c r="AT52" s="40"/>
      <c r="AU52" s="39">
        <f t="shared" si="38"/>
        <v>500</v>
      </c>
      <c r="AV52" s="40"/>
      <c r="AW52" s="39">
        <f t="shared" si="39"/>
        <v>342</v>
      </c>
      <c r="AX52" s="40"/>
      <c r="AY52" s="39">
        <f t="shared" si="40"/>
        <v>414</v>
      </c>
      <c r="AZ52" s="40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4"/>
      <c r="BN52" s="44"/>
      <c r="BO52" s="44"/>
      <c r="BP52" s="44"/>
      <c r="BQ52" s="44"/>
      <c r="BR52" s="44"/>
      <c r="BS52" s="44"/>
      <c r="BT52" s="44"/>
      <c r="BU52" s="44"/>
      <c r="BV52" s="44"/>
    </row>
    <row r="53" spans="15:74" ht="12.75">
      <c r="O53" s="44"/>
      <c r="P53" s="44"/>
      <c r="Q53" s="44"/>
      <c r="R53" s="44"/>
      <c r="S53" s="45"/>
      <c r="T53" s="45"/>
      <c r="U53" s="45"/>
      <c r="V53" s="40">
        <f t="shared" si="27"/>
        <v>46</v>
      </c>
      <c r="W53" s="40"/>
      <c r="X53" s="40"/>
      <c r="Y53" s="39">
        <f t="shared" si="28"/>
        <v>25</v>
      </c>
      <c r="Z53" s="40"/>
      <c r="AA53" s="39">
        <f t="shared" si="29"/>
        <v>40</v>
      </c>
      <c r="AB53" s="40"/>
      <c r="AC53" s="39">
        <f t="shared" si="30"/>
        <v>40</v>
      </c>
      <c r="AD53" s="40"/>
      <c r="AE53" s="39">
        <f t="shared" si="31"/>
        <v>55</v>
      </c>
      <c r="AF53" s="40"/>
      <c r="AG53" s="39">
        <f t="shared" si="32"/>
        <v>55</v>
      </c>
      <c r="AH53" s="40"/>
      <c r="AI53" s="39"/>
      <c r="AJ53" s="40"/>
      <c r="AK53" s="39">
        <f t="shared" si="33"/>
        <v>0</v>
      </c>
      <c r="AL53" s="40"/>
      <c r="AM53" s="39">
        <f t="shared" si="34"/>
        <v>230</v>
      </c>
      <c r="AN53" s="40"/>
      <c r="AO53" s="39">
        <f t="shared" si="35"/>
        <v>270</v>
      </c>
      <c r="AP53" s="40"/>
      <c r="AQ53" s="39">
        <f t="shared" si="36"/>
        <v>280</v>
      </c>
      <c r="AR53" s="40"/>
      <c r="AS53" s="39">
        <f t="shared" si="37"/>
        <v>290</v>
      </c>
      <c r="AT53" s="40"/>
      <c r="AU53" s="39">
        <f t="shared" si="38"/>
        <v>380</v>
      </c>
      <c r="AV53" s="40"/>
      <c r="AW53" s="39">
        <f t="shared" si="39"/>
        <v>1770</v>
      </c>
      <c r="AX53" s="40"/>
      <c r="AY53" s="39">
        <f t="shared" si="40"/>
        <v>2150</v>
      </c>
      <c r="AZ53" s="40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4"/>
      <c r="BN53" s="44"/>
      <c r="BO53" s="44"/>
      <c r="BP53" s="44"/>
      <c r="BQ53" s="44"/>
      <c r="BR53" s="44"/>
      <c r="BS53" s="44"/>
      <c r="BT53" s="44"/>
      <c r="BU53" s="44"/>
      <c r="BV53" s="44"/>
    </row>
    <row r="54" spans="15:74" ht="12.75">
      <c r="O54" s="44"/>
      <c r="P54" s="44"/>
      <c r="Q54" s="44"/>
      <c r="R54" s="44"/>
      <c r="S54" s="45"/>
      <c r="T54" s="45"/>
      <c r="U54" s="45"/>
      <c r="V54" s="40">
        <f t="shared" si="27"/>
        <v>47</v>
      </c>
      <c r="W54" s="40"/>
      <c r="X54" s="40"/>
      <c r="Y54" s="39">
        <f t="shared" si="28"/>
        <v>70</v>
      </c>
      <c r="Z54" s="40"/>
      <c r="AA54" s="39">
        <f t="shared" si="29"/>
        <v>108</v>
      </c>
      <c r="AB54" s="40"/>
      <c r="AC54" s="39">
        <f t="shared" si="30"/>
        <v>120</v>
      </c>
      <c r="AD54" s="40"/>
      <c r="AE54" s="39">
        <f t="shared" si="31"/>
        <v>175</v>
      </c>
      <c r="AF54" s="40"/>
      <c r="AG54" s="39">
        <f t="shared" si="32"/>
        <v>240</v>
      </c>
      <c r="AH54" s="40"/>
      <c r="AI54" s="39"/>
      <c r="AJ54" s="40"/>
      <c r="AK54" s="39">
        <f t="shared" si="33"/>
        <v>0</v>
      </c>
      <c r="AL54" s="40"/>
      <c r="AM54" s="39">
        <f t="shared" si="34"/>
        <v>500</v>
      </c>
      <c r="AN54" s="40"/>
      <c r="AO54" s="39">
        <f t="shared" si="35"/>
        <v>700</v>
      </c>
      <c r="AP54" s="40"/>
      <c r="AQ54" s="39">
        <f t="shared" si="36"/>
        <v>875</v>
      </c>
      <c r="AR54" s="40"/>
      <c r="AS54" s="39">
        <f t="shared" si="37"/>
        <v>1100</v>
      </c>
      <c r="AT54" s="40"/>
      <c r="AU54" s="39">
        <f t="shared" si="38"/>
        <v>1550</v>
      </c>
      <c r="AV54" s="40"/>
      <c r="AW54" s="39">
        <f t="shared" si="39"/>
        <v>1770</v>
      </c>
      <c r="AX54" s="40"/>
      <c r="AY54" s="39">
        <f t="shared" si="40"/>
        <v>2150</v>
      </c>
      <c r="AZ54" s="40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4"/>
      <c r="BN54" s="44"/>
      <c r="BO54" s="44"/>
      <c r="BP54" s="44"/>
      <c r="BQ54" s="44"/>
      <c r="BR54" s="44"/>
      <c r="BS54" s="44"/>
      <c r="BT54" s="44"/>
      <c r="BU54" s="44"/>
      <c r="BV54" s="44"/>
    </row>
    <row r="55" spans="15:74" ht="12.75">
      <c r="O55" s="44"/>
      <c r="P55" s="44"/>
      <c r="Q55" s="44"/>
      <c r="R55" s="44"/>
      <c r="S55" s="45"/>
      <c r="T55" s="45"/>
      <c r="U55" s="45"/>
      <c r="V55" s="40">
        <f t="shared" si="27"/>
        <v>48</v>
      </c>
      <c r="W55" s="40"/>
      <c r="X55" s="40"/>
      <c r="Y55" s="39">
        <f aca="true" t="shared" si="41" ref="Y55:AA58">Z43</f>
        <v>70</v>
      </c>
      <c r="Z55" s="40"/>
      <c r="AA55" s="39">
        <f t="shared" si="41"/>
        <v>108</v>
      </c>
      <c r="AB55" s="40"/>
      <c r="AC55" s="39">
        <f t="shared" si="30"/>
        <v>120</v>
      </c>
      <c r="AD55" s="40"/>
      <c r="AE55" s="39">
        <f t="shared" si="31"/>
        <v>175</v>
      </c>
      <c r="AF55" s="40"/>
      <c r="AG55" s="39">
        <f t="shared" si="32"/>
        <v>240</v>
      </c>
      <c r="AH55" s="40"/>
      <c r="AI55" s="39"/>
      <c r="AJ55" s="40"/>
      <c r="AK55" s="39">
        <f t="shared" si="33"/>
        <v>0</v>
      </c>
      <c r="AL55" s="40"/>
      <c r="AM55" s="39">
        <f t="shared" si="34"/>
        <v>0</v>
      </c>
      <c r="AN55" s="40"/>
      <c r="AO55" s="39">
        <f t="shared" si="35"/>
        <v>700</v>
      </c>
      <c r="AP55" s="40"/>
      <c r="AQ55" s="39">
        <f t="shared" si="36"/>
        <v>875</v>
      </c>
      <c r="AR55" s="40"/>
      <c r="AS55" s="39">
        <f t="shared" si="37"/>
        <v>1100</v>
      </c>
      <c r="AT55" s="40"/>
      <c r="AU55" s="39">
        <f t="shared" si="38"/>
        <v>1550</v>
      </c>
      <c r="AV55" s="40"/>
      <c r="AW55" s="39">
        <f t="shared" si="39"/>
        <v>1770</v>
      </c>
      <c r="AX55" s="40"/>
      <c r="AY55" s="39">
        <f t="shared" si="40"/>
        <v>2150</v>
      </c>
      <c r="AZ55" s="40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4"/>
      <c r="BN55" s="44"/>
      <c r="BO55" s="44"/>
      <c r="BP55" s="44"/>
      <c r="BQ55" s="44"/>
      <c r="BR55" s="44"/>
      <c r="BS55" s="44"/>
      <c r="BT55" s="44"/>
      <c r="BU55" s="44"/>
      <c r="BV55" s="44"/>
    </row>
    <row r="56" spans="15:74" ht="12.75">
      <c r="O56" s="44"/>
      <c r="P56" s="44"/>
      <c r="Q56" s="44"/>
      <c r="R56" s="44"/>
      <c r="S56" s="45"/>
      <c r="T56" s="45"/>
      <c r="U56" s="45"/>
      <c r="V56" s="40">
        <f t="shared" si="27"/>
        <v>49</v>
      </c>
      <c r="W56" s="40"/>
      <c r="X56" s="40"/>
      <c r="Y56" s="39">
        <f t="shared" si="41"/>
        <v>70</v>
      </c>
      <c r="Z56" s="40"/>
      <c r="AA56" s="39">
        <f t="shared" si="41"/>
        <v>108</v>
      </c>
      <c r="AB56" s="40"/>
      <c r="AC56" s="39">
        <f t="shared" si="30"/>
        <v>120</v>
      </c>
      <c r="AD56" s="40"/>
      <c r="AE56" s="39">
        <f t="shared" si="31"/>
        <v>175</v>
      </c>
      <c r="AF56" s="40"/>
      <c r="AG56" s="39">
        <f t="shared" si="32"/>
        <v>240</v>
      </c>
      <c r="AH56" s="40"/>
      <c r="AI56" s="39"/>
      <c r="AJ56" s="40"/>
      <c r="AK56" s="39">
        <f t="shared" si="33"/>
        <v>0</v>
      </c>
      <c r="AL56" s="40"/>
      <c r="AM56" s="39">
        <f t="shared" si="34"/>
        <v>0</v>
      </c>
      <c r="AN56" s="40"/>
      <c r="AO56" s="39">
        <f t="shared" si="35"/>
        <v>700</v>
      </c>
      <c r="AP56" s="40"/>
      <c r="AQ56" s="39">
        <f t="shared" si="36"/>
        <v>875</v>
      </c>
      <c r="AR56" s="40"/>
      <c r="AS56" s="39">
        <f t="shared" si="37"/>
        <v>1100</v>
      </c>
      <c r="AT56" s="40"/>
      <c r="AU56" s="39">
        <f t="shared" si="38"/>
        <v>1550</v>
      </c>
      <c r="AV56" s="40"/>
      <c r="AW56" s="39">
        <f t="shared" si="39"/>
        <v>1770</v>
      </c>
      <c r="AX56" s="40"/>
      <c r="AY56" s="39">
        <f t="shared" si="40"/>
        <v>2150</v>
      </c>
      <c r="AZ56" s="40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4"/>
      <c r="BN56" s="44"/>
      <c r="BO56" s="44"/>
      <c r="BP56" s="44"/>
      <c r="BQ56" s="44"/>
      <c r="BR56" s="44"/>
      <c r="BS56" s="44"/>
      <c r="BT56" s="44"/>
      <c r="BU56" s="44"/>
      <c r="BV56" s="44"/>
    </row>
    <row r="57" spans="15:74" ht="12.75">
      <c r="O57" s="44"/>
      <c r="P57" s="44"/>
      <c r="Q57" s="44"/>
      <c r="R57" s="44"/>
      <c r="S57" s="45"/>
      <c r="T57" s="45"/>
      <c r="U57" s="45"/>
      <c r="V57" s="40">
        <f t="shared" si="27"/>
        <v>50</v>
      </c>
      <c r="W57" s="40"/>
      <c r="X57" s="40"/>
      <c r="Y57" s="39">
        <f t="shared" si="41"/>
        <v>70</v>
      </c>
      <c r="Z57" s="40"/>
      <c r="AA57" s="39">
        <f t="shared" si="41"/>
        <v>108</v>
      </c>
      <c r="AB57" s="40"/>
      <c r="AC57" s="39">
        <f t="shared" si="30"/>
        <v>120</v>
      </c>
      <c r="AD57" s="40"/>
      <c r="AE57" s="39">
        <f t="shared" si="31"/>
        <v>175</v>
      </c>
      <c r="AF57" s="40"/>
      <c r="AG57" s="39">
        <f t="shared" si="32"/>
        <v>240</v>
      </c>
      <c r="AH57" s="40"/>
      <c r="AI57" s="39"/>
      <c r="AJ57" s="40"/>
      <c r="AK57" s="39">
        <f t="shared" si="33"/>
        <v>0</v>
      </c>
      <c r="AL57" s="40"/>
      <c r="AM57" s="39">
        <f t="shared" si="34"/>
        <v>0</v>
      </c>
      <c r="AN57" s="40"/>
      <c r="AO57" s="39">
        <f t="shared" si="35"/>
        <v>700</v>
      </c>
      <c r="AP57" s="40"/>
      <c r="AQ57" s="39">
        <f t="shared" si="36"/>
        <v>875</v>
      </c>
      <c r="AR57" s="40"/>
      <c r="AS57" s="39">
        <f t="shared" si="37"/>
        <v>1100</v>
      </c>
      <c r="AT57" s="40"/>
      <c r="AU57" s="39">
        <f t="shared" si="38"/>
        <v>1550</v>
      </c>
      <c r="AV57" s="40"/>
      <c r="AW57" s="39">
        <f t="shared" si="39"/>
        <v>1770</v>
      </c>
      <c r="AX57" s="40"/>
      <c r="AY57" s="39">
        <f t="shared" si="40"/>
        <v>2150</v>
      </c>
      <c r="AZ57" s="40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4"/>
      <c r="BN57" s="44"/>
      <c r="BO57" s="44"/>
      <c r="BP57" s="44"/>
      <c r="BQ57" s="44"/>
      <c r="BR57" s="44"/>
      <c r="BS57" s="44"/>
      <c r="BT57" s="44"/>
      <c r="BU57" s="44"/>
      <c r="BV57" s="44"/>
    </row>
    <row r="58" spans="15:74" ht="12.75">
      <c r="O58" s="44"/>
      <c r="P58" s="44"/>
      <c r="Q58" s="44"/>
      <c r="R58" s="44"/>
      <c r="S58" s="45"/>
      <c r="T58" s="45"/>
      <c r="U58" s="45"/>
      <c r="V58" s="40">
        <f t="shared" si="27"/>
        <v>51</v>
      </c>
      <c r="W58" s="40"/>
      <c r="X58" s="40"/>
      <c r="Y58" s="39">
        <f t="shared" si="41"/>
        <v>70</v>
      </c>
      <c r="Z58" s="40"/>
      <c r="AA58" s="39">
        <f t="shared" si="41"/>
        <v>108</v>
      </c>
      <c r="AB58" s="40"/>
      <c r="AC58" s="39">
        <f t="shared" si="30"/>
        <v>120</v>
      </c>
      <c r="AD58" s="40"/>
      <c r="AE58" s="39">
        <f t="shared" si="31"/>
        <v>175</v>
      </c>
      <c r="AF58" s="40"/>
      <c r="AG58" s="39">
        <f t="shared" si="32"/>
        <v>240</v>
      </c>
      <c r="AH58" s="40"/>
      <c r="AI58" s="39"/>
      <c r="AJ58" s="40"/>
      <c r="AK58" s="39">
        <f t="shared" si="33"/>
        <v>0</v>
      </c>
      <c r="AL58" s="40"/>
      <c r="AM58" s="39">
        <f t="shared" si="34"/>
        <v>0</v>
      </c>
      <c r="AN58" s="40"/>
      <c r="AO58" s="39">
        <f t="shared" si="35"/>
        <v>700</v>
      </c>
      <c r="AP58" s="40"/>
      <c r="AQ58" s="39">
        <f t="shared" si="36"/>
        <v>875</v>
      </c>
      <c r="AR58" s="40"/>
      <c r="AS58" s="39">
        <f t="shared" si="37"/>
        <v>1100</v>
      </c>
      <c r="AT58" s="40"/>
      <c r="AU58" s="39">
        <f t="shared" si="38"/>
        <v>1550</v>
      </c>
      <c r="AV58" s="40"/>
      <c r="AW58" s="39">
        <f t="shared" si="39"/>
        <v>1770</v>
      </c>
      <c r="AX58" s="40"/>
      <c r="AY58" s="39">
        <f t="shared" si="40"/>
        <v>2150</v>
      </c>
      <c r="AZ58" s="40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4"/>
      <c r="BN58" s="44"/>
      <c r="BO58" s="44"/>
      <c r="BP58" s="44"/>
      <c r="BQ58" s="44"/>
      <c r="BR58" s="44"/>
      <c r="BS58" s="44"/>
      <c r="BT58" s="44"/>
      <c r="BU58" s="44"/>
      <c r="BV58" s="44"/>
    </row>
    <row r="59" spans="15:74" ht="12.75">
      <c r="O59" s="44"/>
      <c r="P59" s="44"/>
      <c r="Q59" s="44"/>
      <c r="R59" s="44"/>
      <c r="S59" s="45"/>
      <c r="T59" s="45"/>
      <c r="U59" s="45"/>
      <c r="V59" s="45"/>
      <c r="W59" s="40"/>
      <c r="X59" s="40"/>
      <c r="Y59" s="170" t="s">
        <v>84</v>
      </c>
      <c r="Z59" s="170"/>
      <c r="AA59" s="170" t="s">
        <v>84</v>
      </c>
      <c r="AB59" s="170"/>
      <c r="AC59" s="170" t="s">
        <v>84</v>
      </c>
      <c r="AD59" s="170"/>
      <c r="AE59" s="170" t="s">
        <v>84</v>
      </c>
      <c r="AF59" s="170"/>
      <c r="AG59" s="170" t="s">
        <v>84</v>
      </c>
      <c r="AH59" s="170"/>
      <c r="AI59" s="170"/>
      <c r="AJ59" s="170"/>
      <c r="AK59" s="170">
        <f>AK34</f>
        <v>0</v>
      </c>
      <c r="AL59" s="170"/>
      <c r="AM59" s="170" t="s">
        <v>87</v>
      </c>
      <c r="AN59" s="170"/>
      <c r="AO59" s="170" t="s">
        <v>87</v>
      </c>
      <c r="AP59" s="170"/>
      <c r="AQ59" s="170" t="s">
        <v>87</v>
      </c>
      <c r="AR59" s="170"/>
      <c r="AS59" s="170" t="s">
        <v>87</v>
      </c>
      <c r="AT59" s="170"/>
      <c r="AU59" s="170" t="s">
        <v>85</v>
      </c>
      <c r="AV59" s="170"/>
      <c r="AW59" s="170" t="s">
        <v>100</v>
      </c>
      <c r="AX59" s="170"/>
      <c r="AY59" s="170" t="s">
        <v>100</v>
      </c>
      <c r="AZ59" s="170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4"/>
      <c r="BN59" s="44"/>
      <c r="BO59" s="44"/>
      <c r="BP59" s="44"/>
      <c r="BQ59" s="44"/>
      <c r="BR59" s="44"/>
      <c r="BS59" s="44"/>
      <c r="BT59" s="44"/>
      <c r="BU59" s="44"/>
      <c r="BV59" s="44"/>
    </row>
    <row r="60" spans="15:74" ht="12.75">
      <c r="O60" s="44"/>
      <c r="P60" s="44"/>
      <c r="Q60" s="44"/>
      <c r="R60" s="44"/>
      <c r="S60" s="45"/>
      <c r="T60" s="45"/>
      <c r="U60" s="45"/>
      <c r="V60" s="45"/>
      <c r="W60" s="40"/>
      <c r="X60" s="30" t="str">
        <f>IF(T9=0,0,HLOOKUP($T$9,$W$8:$BR$60,53))</f>
        <v>LOW Nox</v>
      </c>
      <c r="Y60" s="45" t="str">
        <f>IF($S$9=FALSE,Y61,Y59)</f>
        <v>PAB Version</v>
      </c>
      <c r="Z60" s="50"/>
      <c r="AA60" s="45" t="str">
        <f>IF($S$9=FALSE,AA61,AA59)</f>
        <v>PAB Version</v>
      </c>
      <c r="AB60" s="50"/>
      <c r="AC60" s="45" t="str">
        <f>IF($S$9=FALSE,AC61,AC59)</f>
        <v>PAB Version</v>
      </c>
      <c r="AD60" s="45"/>
      <c r="AE60" s="45" t="str">
        <f>IF($S$9=FALSE,AE61,AE59)</f>
        <v>PAB Version</v>
      </c>
      <c r="AF60" s="45"/>
      <c r="AG60" s="45" t="str">
        <f>IF($S$9=FALSE,AG61,AG59)</f>
        <v>PAB Version</v>
      </c>
      <c r="AH60" s="45"/>
      <c r="AI60" s="45">
        <f>IF($S$9=FALSE,AI61,AI59)</f>
        <v>0</v>
      </c>
      <c r="AJ60" s="45"/>
      <c r="AK60" s="45">
        <f>IF($S$9=FALSE,AK61,AK59)</f>
        <v>0</v>
      </c>
      <c r="AL60" s="45"/>
      <c r="AM60" s="45" t="str">
        <f>IF($S$9=FALSE,AM61,AM59)</f>
        <v>LOW Nox/LPG</v>
      </c>
      <c r="AN60" s="45"/>
      <c r="AO60" s="45" t="str">
        <f>IF($S$9=FALSE,AO61,AO59)</f>
        <v>LOW Nox/LPG</v>
      </c>
      <c r="AP60" s="45"/>
      <c r="AQ60" s="45" t="str">
        <f>IF($S$9=FALSE,AQ61,AQ59)</f>
        <v>LOW Nox/LPG</v>
      </c>
      <c r="AR60" s="45"/>
      <c r="AS60" s="45" t="str">
        <f>IF($S$9=FALSE,AS61,AS59)</f>
        <v>LOW Nox/LPG</v>
      </c>
      <c r="AT60" s="45"/>
      <c r="AU60" s="45" t="str">
        <f>IF($S$9=FALSE,AU61,AU59)</f>
        <v>LOW Nox</v>
      </c>
      <c r="AV60" s="45"/>
      <c r="AW60" s="45" t="str">
        <f>IF($S$9=FALSE,AW61,AW59)</f>
        <v>20 mbar</v>
      </c>
      <c r="AX60" s="45"/>
      <c r="AY60" s="45" t="str">
        <f>IF($S$9=FALSE,AY61,AY59)</f>
        <v>20 mbar</v>
      </c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4"/>
      <c r="BN60" s="44"/>
      <c r="BO60" s="44"/>
      <c r="BP60" s="44"/>
      <c r="BQ60" s="44"/>
      <c r="BR60" s="44"/>
      <c r="BS60" s="44"/>
      <c r="BT60" s="44"/>
      <c r="BU60" s="44"/>
      <c r="BV60" s="44"/>
    </row>
    <row r="61" spans="15:74" ht="12.75">
      <c r="O61" s="44"/>
      <c r="P61" s="44"/>
      <c r="Q61" s="44"/>
      <c r="R61" s="44"/>
      <c r="S61" s="45"/>
      <c r="T61" s="45"/>
      <c r="U61" s="45"/>
      <c r="V61" s="45"/>
      <c r="W61" s="40"/>
      <c r="X61" s="40"/>
      <c r="Y61" s="40" t="s">
        <v>77</v>
      </c>
      <c r="Z61" s="40"/>
      <c r="AA61" s="40" t="s">
        <v>77</v>
      </c>
      <c r="AB61" s="40"/>
      <c r="AC61" s="40" t="s">
        <v>77</v>
      </c>
      <c r="AD61" s="45"/>
      <c r="AE61" s="40" t="s">
        <v>77</v>
      </c>
      <c r="AF61" s="45"/>
      <c r="AG61" s="40" t="s">
        <v>77</v>
      </c>
      <c r="AH61" s="45"/>
      <c r="AI61" s="40" t="s">
        <v>77</v>
      </c>
      <c r="AJ61" s="45"/>
      <c r="AK61" s="40" t="s">
        <v>77</v>
      </c>
      <c r="AL61" s="45"/>
      <c r="AM61" s="40" t="s">
        <v>77</v>
      </c>
      <c r="AN61" s="45"/>
      <c r="AO61" s="40" t="s">
        <v>77</v>
      </c>
      <c r="AP61" s="45"/>
      <c r="AQ61" s="40" t="s">
        <v>77</v>
      </c>
      <c r="AR61" s="45"/>
      <c r="AS61" s="40" t="s">
        <v>77</v>
      </c>
      <c r="AT61" s="45"/>
      <c r="AU61" s="40" t="s">
        <v>77</v>
      </c>
      <c r="AV61" s="45"/>
      <c r="AW61" s="40" t="s">
        <v>77</v>
      </c>
      <c r="AX61" s="45"/>
      <c r="AY61" s="40" t="s">
        <v>77</v>
      </c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4"/>
      <c r="BN61" s="44"/>
      <c r="BO61" s="44"/>
      <c r="BP61" s="44"/>
      <c r="BQ61" s="44"/>
      <c r="BR61" s="44"/>
      <c r="BS61" s="44"/>
      <c r="BT61" s="44"/>
      <c r="BU61" s="44"/>
      <c r="BV61" s="44"/>
    </row>
    <row r="62" spans="12:74" ht="12.75">
      <c r="L62" t="s">
        <v>43</v>
      </c>
      <c r="M62" t="s">
        <v>44</v>
      </c>
      <c r="O62" s="44"/>
      <c r="P62" s="44"/>
      <c r="Q62" s="44"/>
      <c r="R62" s="44"/>
      <c r="S62" s="45"/>
      <c r="T62" s="45"/>
      <c r="U62" s="45"/>
      <c r="V62" s="45"/>
      <c r="W62" s="40"/>
      <c r="X62" s="40"/>
      <c r="Y62" s="40"/>
      <c r="Z62" s="40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4"/>
      <c r="BN62" s="44"/>
      <c r="BO62" s="44"/>
      <c r="BP62" s="44"/>
      <c r="BQ62" s="44"/>
      <c r="BR62" s="44"/>
      <c r="BS62" s="44"/>
      <c r="BT62" s="44"/>
      <c r="BU62" s="44"/>
      <c r="BV62" s="44"/>
    </row>
    <row r="63" spans="12:64" ht="12.75">
      <c r="L63" s="1" t="b">
        <f aca="true" t="shared" si="42" ref="L63:L73">IF($N$39=1,U11,IF($N$39=2,U72,IF($N$39=3,U146,IF($N$39=4,U194))))</f>
        <v>0</v>
      </c>
      <c r="M63" s="1" t="b">
        <f aca="true" t="shared" si="43" ref="M63:M73">IF($N$39=1,V11,IF($N$39=2,V72,IF($N$39=3,V146,IF($N$39=4,V194))))</f>
        <v>0</v>
      </c>
      <c r="S63" s="7"/>
      <c r="T63" s="7"/>
      <c r="U63" s="7"/>
      <c r="V63" s="7"/>
      <c r="W63" s="18"/>
      <c r="X63" s="18"/>
      <c r="Y63" s="18"/>
      <c r="Z63" s="38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</row>
    <row r="64" spans="12:64" ht="12.75">
      <c r="L64" s="1" t="b">
        <f t="shared" si="42"/>
        <v>0</v>
      </c>
      <c r="M64" s="1" t="b">
        <f t="shared" si="43"/>
        <v>0</v>
      </c>
      <c r="S64" s="7"/>
      <c r="T64" s="7"/>
      <c r="U64" s="7"/>
      <c r="V64" s="7"/>
      <c r="W64" s="7"/>
      <c r="X64" s="201" t="s">
        <v>49</v>
      </c>
      <c r="Y64" s="201"/>
      <c r="Z64" s="201"/>
      <c r="AA64" s="201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</row>
    <row r="65" spans="12:64" ht="13.5" thickBot="1">
      <c r="L65" s="1" t="b">
        <f t="shared" si="42"/>
        <v>0</v>
      </c>
      <c r="M65" s="1" t="b">
        <f t="shared" si="43"/>
        <v>0</v>
      </c>
      <c r="S65" s="7"/>
      <c r="T65" s="7"/>
      <c r="U65" s="7"/>
      <c r="V65" s="7"/>
      <c r="W65" s="7"/>
      <c r="X65" s="202"/>
      <c r="Y65" s="202"/>
      <c r="Z65" s="202"/>
      <c r="AA65" s="202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</row>
    <row r="66" spans="12:64" ht="12.75">
      <c r="L66" s="1" t="b">
        <f t="shared" si="42"/>
        <v>0</v>
      </c>
      <c r="M66" s="1" t="b">
        <f t="shared" si="43"/>
        <v>0</v>
      </c>
      <c r="S66" s="7"/>
      <c r="T66" s="7"/>
      <c r="U66" s="7"/>
      <c r="V66" s="7"/>
      <c r="W66" s="195" t="s">
        <v>48</v>
      </c>
      <c r="X66" s="196"/>
      <c r="Y66" s="196"/>
      <c r="Z66" s="196"/>
      <c r="AA66" s="19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</row>
    <row r="67" spans="12:64" ht="13.5" thickBot="1">
      <c r="L67" s="1" t="b">
        <f t="shared" si="42"/>
        <v>0</v>
      </c>
      <c r="M67" s="1" t="b">
        <f t="shared" si="43"/>
        <v>0</v>
      </c>
      <c r="Q67" s="7"/>
      <c r="R67" s="7"/>
      <c r="S67" s="7"/>
      <c r="T67" s="7"/>
      <c r="U67" s="7"/>
      <c r="V67" s="7"/>
      <c r="W67" s="198"/>
      <c r="X67" s="199"/>
      <c r="Y67" s="199"/>
      <c r="Z67" s="199"/>
      <c r="AA67" s="200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</row>
    <row r="68" spans="12:64" ht="13.5" thickBot="1">
      <c r="L68" s="1" t="b">
        <f t="shared" si="42"/>
        <v>0</v>
      </c>
      <c r="M68" s="1" t="b">
        <f t="shared" si="43"/>
        <v>0</v>
      </c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</row>
    <row r="69" spans="12:72" ht="13.5" thickBot="1">
      <c r="L69" s="1" t="b">
        <f t="shared" si="42"/>
        <v>0</v>
      </c>
      <c r="M69" s="1" t="b">
        <f t="shared" si="43"/>
        <v>0</v>
      </c>
      <c r="Q69" s="45"/>
      <c r="R69" s="46" t="b">
        <v>0</v>
      </c>
      <c r="S69" s="45"/>
      <c r="T69" s="45"/>
      <c r="U69" s="45"/>
      <c r="V69" s="45"/>
      <c r="W69" s="45">
        <v>1</v>
      </c>
      <c r="X69" s="45"/>
      <c r="Y69" s="45">
        <v>2</v>
      </c>
      <c r="Z69" s="45"/>
      <c r="AA69" s="45">
        <v>3</v>
      </c>
      <c r="AB69" s="45"/>
      <c r="AC69" s="45">
        <v>4</v>
      </c>
      <c r="AD69" s="45"/>
      <c r="AE69" s="45">
        <v>5</v>
      </c>
      <c r="AF69" s="45"/>
      <c r="AG69" s="45">
        <v>6</v>
      </c>
      <c r="AH69" s="45"/>
      <c r="AI69" s="45">
        <v>7</v>
      </c>
      <c r="AJ69" s="45"/>
      <c r="AK69" s="45">
        <v>8</v>
      </c>
      <c r="AL69" s="45"/>
      <c r="AM69" s="40">
        <v>9</v>
      </c>
      <c r="AN69" s="40"/>
      <c r="AO69" s="40">
        <v>10</v>
      </c>
      <c r="AP69" s="40"/>
      <c r="AQ69" s="40">
        <v>11</v>
      </c>
      <c r="AR69" s="40"/>
      <c r="AS69" s="40">
        <v>12</v>
      </c>
      <c r="AT69" s="40"/>
      <c r="AU69" s="40">
        <v>13</v>
      </c>
      <c r="AV69" s="40"/>
      <c r="AW69" s="40">
        <v>14</v>
      </c>
      <c r="AX69" s="40"/>
      <c r="AY69" s="40">
        <v>15</v>
      </c>
      <c r="AZ69" s="40"/>
      <c r="BA69" s="40">
        <v>16</v>
      </c>
      <c r="BB69" s="40"/>
      <c r="BC69" s="40">
        <v>17</v>
      </c>
      <c r="BD69" s="40"/>
      <c r="BE69" s="40">
        <v>18</v>
      </c>
      <c r="BF69" s="40"/>
      <c r="BG69" s="40">
        <v>19</v>
      </c>
      <c r="BH69" s="40"/>
      <c r="BI69" s="40">
        <v>20</v>
      </c>
      <c r="BJ69" s="40"/>
      <c r="BK69" s="40">
        <v>21</v>
      </c>
      <c r="BL69" s="40"/>
      <c r="BM69" s="55">
        <v>22</v>
      </c>
      <c r="BN69" s="55"/>
      <c r="BO69" s="55">
        <v>23</v>
      </c>
      <c r="BP69" s="55"/>
      <c r="BQ69" s="55">
        <v>24</v>
      </c>
      <c r="BR69" s="55"/>
      <c r="BS69" s="55">
        <v>25</v>
      </c>
      <c r="BT69" s="55"/>
    </row>
    <row r="70" spans="12:251" ht="13.5" thickBot="1">
      <c r="L70" s="1" t="b">
        <f t="shared" si="42"/>
        <v>0</v>
      </c>
      <c r="M70" s="1" t="b">
        <f t="shared" si="43"/>
        <v>0</v>
      </c>
      <c r="Q70" s="45"/>
      <c r="R70" s="45"/>
      <c r="S70" s="45"/>
      <c r="T70" s="45">
        <f>IF(R69=FALSE,U66,T71)</f>
        <v>0</v>
      </c>
      <c r="U70" s="167" t="e">
        <f>HLOOKUP(T70,W69:BT94,2)</f>
        <v>#N/A</v>
      </c>
      <c r="V70" s="167"/>
      <c r="W70" s="168" t="s">
        <v>63</v>
      </c>
      <c r="X70" s="169"/>
      <c r="Y70" s="166" t="s">
        <v>64</v>
      </c>
      <c r="Z70" s="166"/>
      <c r="AA70" s="166" t="s">
        <v>65</v>
      </c>
      <c r="AB70" s="166"/>
      <c r="AC70" s="166" t="s">
        <v>66</v>
      </c>
      <c r="AD70" s="166"/>
      <c r="AE70" s="166" t="s">
        <v>91</v>
      </c>
      <c r="AF70" s="168"/>
      <c r="AG70" s="158" t="s">
        <v>90</v>
      </c>
      <c r="AH70" s="159"/>
      <c r="AI70" s="169" t="s">
        <v>92</v>
      </c>
      <c r="AJ70" s="166"/>
      <c r="AK70" s="169" t="s">
        <v>67</v>
      </c>
      <c r="AL70" s="168"/>
      <c r="AM70" s="166" t="s">
        <v>192</v>
      </c>
      <c r="AN70" s="166"/>
      <c r="AO70" s="166" t="s">
        <v>202</v>
      </c>
      <c r="AP70" s="166"/>
      <c r="AQ70" s="166" t="s">
        <v>11</v>
      </c>
      <c r="AR70" s="166"/>
      <c r="AS70" s="166" t="s">
        <v>12</v>
      </c>
      <c r="AT70" s="166"/>
      <c r="AU70" s="166" t="s">
        <v>13</v>
      </c>
      <c r="AV70" s="166"/>
      <c r="AW70" s="166" t="s">
        <v>14</v>
      </c>
      <c r="AX70" s="166"/>
      <c r="AY70" s="166" t="s">
        <v>15</v>
      </c>
      <c r="AZ70" s="166"/>
      <c r="BA70" s="166" t="s">
        <v>16</v>
      </c>
      <c r="BB70" s="166"/>
      <c r="BC70" s="166" t="s">
        <v>17</v>
      </c>
      <c r="BD70" s="166"/>
      <c r="BE70" s="166" t="s">
        <v>18</v>
      </c>
      <c r="BF70" s="166"/>
      <c r="BG70" s="166" t="s">
        <v>19</v>
      </c>
      <c r="BH70" s="166"/>
      <c r="BI70" s="166" t="s">
        <v>20</v>
      </c>
      <c r="BJ70" s="166"/>
      <c r="BK70" s="166" t="s">
        <v>21</v>
      </c>
      <c r="BL70" s="166"/>
      <c r="BM70" s="166" t="s">
        <v>22</v>
      </c>
      <c r="BN70" s="166"/>
      <c r="BO70" s="166" t="s">
        <v>23</v>
      </c>
      <c r="BP70" s="166"/>
      <c r="BQ70" s="166" t="s">
        <v>24</v>
      </c>
      <c r="BR70" s="166"/>
      <c r="BS70" s="166" t="s">
        <v>94</v>
      </c>
      <c r="BT70" s="166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</row>
    <row r="71" spans="12:251" ht="13.5" thickBot="1">
      <c r="L71" s="1" t="b">
        <f t="shared" si="42"/>
        <v>0</v>
      </c>
      <c r="M71" s="1" t="b">
        <f t="shared" si="43"/>
        <v>0</v>
      </c>
      <c r="Q71" s="40"/>
      <c r="R71" s="45"/>
      <c r="S71" s="45"/>
      <c r="T71" s="45">
        <v>9</v>
      </c>
      <c r="U71" s="47" t="s">
        <v>5</v>
      </c>
      <c r="V71" s="47" t="s">
        <v>6</v>
      </c>
      <c r="W71" s="30" t="s">
        <v>5</v>
      </c>
      <c r="X71" s="30" t="s">
        <v>3</v>
      </c>
      <c r="Y71" s="30" t="s">
        <v>5</v>
      </c>
      <c r="Z71" s="30" t="s">
        <v>3</v>
      </c>
      <c r="AA71" s="30" t="s">
        <v>5</v>
      </c>
      <c r="AB71" s="30" t="s">
        <v>3</v>
      </c>
      <c r="AC71" s="30" t="s">
        <v>5</v>
      </c>
      <c r="AD71" s="30" t="s">
        <v>3</v>
      </c>
      <c r="AE71" s="41" t="s">
        <v>5</v>
      </c>
      <c r="AF71" s="52" t="s">
        <v>3</v>
      </c>
      <c r="AG71" s="35" t="s">
        <v>5</v>
      </c>
      <c r="AH71" s="36" t="s">
        <v>3</v>
      </c>
      <c r="AI71" s="31" t="s">
        <v>5</v>
      </c>
      <c r="AJ71" s="30" t="s">
        <v>3</v>
      </c>
      <c r="AK71" s="30" t="s">
        <v>5</v>
      </c>
      <c r="AL71" s="32" t="s">
        <v>3</v>
      </c>
      <c r="AM71" s="30" t="s">
        <v>5</v>
      </c>
      <c r="AN71" s="30" t="s">
        <v>3</v>
      </c>
      <c r="AO71" s="30" t="s">
        <v>5</v>
      </c>
      <c r="AP71" s="30" t="s">
        <v>3</v>
      </c>
      <c r="AQ71" s="30" t="s">
        <v>5</v>
      </c>
      <c r="AR71" s="30" t="s">
        <v>3</v>
      </c>
      <c r="AS71" s="30" t="s">
        <v>5</v>
      </c>
      <c r="AT71" s="30" t="s">
        <v>3</v>
      </c>
      <c r="AU71" s="30" t="s">
        <v>5</v>
      </c>
      <c r="AV71" s="30" t="s">
        <v>3</v>
      </c>
      <c r="AW71" s="30" t="s">
        <v>5</v>
      </c>
      <c r="AX71" s="30" t="s">
        <v>3</v>
      </c>
      <c r="AY71" s="30" t="s">
        <v>5</v>
      </c>
      <c r="AZ71" s="30" t="s">
        <v>3</v>
      </c>
      <c r="BA71" s="30" t="s">
        <v>5</v>
      </c>
      <c r="BB71" s="30" t="s">
        <v>3</v>
      </c>
      <c r="BC71" s="30" t="s">
        <v>5</v>
      </c>
      <c r="BD71" s="30" t="s">
        <v>3</v>
      </c>
      <c r="BE71" s="30" t="s">
        <v>5</v>
      </c>
      <c r="BF71" s="30" t="s">
        <v>3</v>
      </c>
      <c r="BG71" s="30" t="s">
        <v>5</v>
      </c>
      <c r="BH71" s="30" t="s">
        <v>3</v>
      </c>
      <c r="BI71" s="30" t="s">
        <v>5</v>
      </c>
      <c r="BJ71" s="30" t="s">
        <v>3</v>
      </c>
      <c r="BK71" s="30" t="s">
        <v>5</v>
      </c>
      <c r="BL71" s="30" t="s">
        <v>3</v>
      </c>
      <c r="BM71" s="30" t="s">
        <v>5</v>
      </c>
      <c r="BN71" s="30" t="s">
        <v>3</v>
      </c>
      <c r="BO71" s="30" t="s">
        <v>5</v>
      </c>
      <c r="BP71" s="30" t="s">
        <v>3</v>
      </c>
      <c r="BQ71" s="30" t="s">
        <v>5</v>
      </c>
      <c r="BR71" s="30" t="s">
        <v>3</v>
      </c>
      <c r="BS71" s="30" t="s">
        <v>5</v>
      </c>
      <c r="BT71" s="30" t="s">
        <v>3</v>
      </c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</row>
    <row r="72" spans="10:251" ht="13.5" thickBot="1">
      <c r="J72" s="1"/>
      <c r="L72" s="1" t="b">
        <f t="shared" si="42"/>
        <v>0</v>
      </c>
      <c r="M72" s="1" t="b">
        <f t="shared" si="43"/>
        <v>0</v>
      </c>
      <c r="N72" s="44"/>
      <c r="O72" s="44"/>
      <c r="Q72" s="30">
        <v>29</v>
      </c>
      <c r="R72" s="30">
        <v>41</v>
      </c>
      <c r="S72" s="30" t="e">
        <f>HLOOKUP($T$70,$W$69:$BR$119,Q72)</f>
        <v>#N/A</v>
      </c>
      <c r="T72" s="30" t="e">
        <f>HLOOKUP($T$70,$W$69:$BR$119,R72)*T2</f>
        <v>#N/A</v>
      </c>
      <c r="U72" s="33" t="e">
        <f>HLOOKUP($T$70,$W$69:$BT$94,4)</f>
        <v>#N/A</v>
      </c>
      <c r="V72" s="33" t="e">
        <f>HLOOKUP($T$70,$W$69:$BT$94,16)*T2</f>
        <v>#N/A</v>
      </c>
      <c r="W72" s="31">
        <v>0</v>
      </c>
      <c r="X72" s="30">
        <v>41.4</v>
      </c>
      <c r="Y72" s="30">
        <v>0</v>
      </c>
      <c r="Z72" s="30">
        <v>59</v>
      </c>
      <c r="AA72" s="30">
        <v>0</v>
      </c>
      <c r="AB72" s="30">
        <v>105</v>
      </c>
      <c r="AC72" s="30">
        <v>0</v>
      </c>
      <c r="AD72" s="30">
        <v>130</v>
      </c>
      <c r="AE72" s="30">
        <v>0</v>
      </c>
      <c r="AF72" s="30">
        <v>190</v>
      </c>
      <c r="AG72" s="30">
        <v>0</v>
      </c>
      <c r="AH72" s="30">
        <v>237</v>
      </c>
      <c r="AI72" s="30">
        <v>0</v>
      </c>
      <c r="AJ72" s="30">
        <v>300</v>
      </c>
      <c r="AK72" s="30">
        <v>0</v>
      </c>
      <c r="AL72" s="32">
        <v>319</v>
      </c>
      <c r="AM72" s="30">
        <v>0</v>
      </c>
      <c r="AN72" s="30">
        <v>425</v>
      </c>
      <c r="AO72" s="30">
        <v>0</v>
      </c>
      <c r="AP72" s="30">
        <v>550</v>
      </c>
      <c r="AQ72" s="30">
        <v>0</v>
      </c>
      <c r="AR72" s="30">
        <v>710</v>
      </c>
      <c r="AS72" s="30">
        <v>0</v>
      </c>
      <c r="AT72" s="30">
        <v>949</v>
      </c>
      <c r="AU72" s="30">
        <v>0</v>
      </c>
      <c r="AV72" s="30">
        <v>1423</v>
      </c>
      <c r="AW72" s="30">
        <v>0</v>
      </c>
      <c r="AX72" s="30">
        <v>1780</v>
      </c>
      <c r="AY72" s="30">
        <v>0</v>
      </c>
      <c r="AZ72" s="30">
        <v>2372</v>
      </c>
      <c r="BA72" s="30">
        <v>0</v>
      </c>
      <c r="BB72" s="30">
        <v>3000</v>
      </c>
      <c r="BC72" s="30">
        <v>0</v>
      </c>
      <c r="BD72" s="30">
        <v>3900</v>
      </c>
      <c r="BE72" s="30">
        <v>0</v>
      </c>
      <c r="BF72" s="30">
        <v>5000</v>
      </c>
      <c r="BG72" s="30">
        <v>0</v>
      </c>
      <c r="BH72" s="30">
        <v>5800</v>
      </c>
      <c r="BI72" s="30">
        <v>0</v>
      </c>
      <c r="BJ72" s="30">
        <v>7500</v>
      </c>
      <c r="BK72" s="30">
        <v>0</v>
      </c>
      <c r="BL72" s="30">
        <v>8500</v>
      </c>
      <c r="BM72" s="30">
        <v>0</v>
      </c>
      <c r="BN72" s="30">
        <v>10500</v>
      </c>
      <c r="BO72" s="30">
        <v>0</v>
      </c>
      <c r="BP72" s="30">
        <v>13100</v>
      </c>
      <c r="BQ72" s="30">
        <v>0</v>
      </c>
      <c r="BR72" s="30">
        <v>15000</v>
      </c>
      <c r="BS72" s="30">
        <v>0</v>
      </c>
      <c r="BT72" s="30">
        <v>17000</v>
      </c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</row>
    <row r="73" spans="12:251" ht="13.5" thickBot="1">
      <c r="L73" s="24" t="b">
        <f t="shared" si="42"/>
        <v>0</v>
      </c>
      <c r="M73" s="1" t="b">
        <f t="shared" si="43"/>
        <v>0</v>
      </c>
      <c r="N73" s="44"/>
      <c r="O73" s="44"/>
      <c r="Q73" s="30">
        <f>Q72+1</f>
        <v>30</v>
      </c>
      <c r="R73" s="30">
        <f>R72+1</f>
        <v>42</v>
      </c>
      <c r="S73" s="30" t="e">
        <f aca="true" t="shared" si="44" ref="S73:S82">HLOOKUP($T$70,$W$69:$BR$119,Q73)</f>
        <v>#N/A</v>
      </c>
      <c r="T73" s="30" t="e">
        <f>HLOOKUP($T$70,$W$69:$BR$119,R73)*T2</f>
        <v>#N/A</v>
      </c>
      <c r="U73" s="33" t="e">
        <f>HLOOKUP($T$70,$W$69:$BT$94,5)</f>
        <v>#N/A</v>
      </c>
      <c r="V73" s="33" t="e">
        <f>HLOOKUP($T$70,$W$69:$BT$94,17)*T2</f>
        <v>#N/A</v>
      </c>
      <c r="W73" s="31">
        <v>0.6</v>
      </c>
      <c r="X73" s="30">
        <v>41.4</v>
      </c>
      <c r="Y73" s="30">
        <v>0.3</v>
      </c>
      <c r="Z73" s="30">
        <v>59</v>
      </c>
      <c r="AA73" s="30">
        <v>0.3</v>
      </c>
      <c r="AB73" s="30">
        <v>105</v>
      </c>
      <c r="AC73" s="30">
        <v>0.2</v>
      </c>
      <c r="AD73" s="30">
        <v>130</v>
      </c>
      <c r="AE73" s="30">
        <v>0.8</v>
      </c>
      <c r="AF73" s="30">
        <v>190</v>
      </c>
      <c r="AG73" s="30">
        <v>0.9</v>
      </c>
      <c r="AH73" s="30">
        <v>237</v>
      </c>
      <c r="AI73" s="30">
        <v>0.5</v>
      </c>
      <c r="AJ73" s="30">
        <v>300</v>
      </c>
      <c r="AK73" s="30">
        <v>0.8</v>
      </c>
      <c r="AL73" s="32">
        <v>314</v>
      </c>
      <c r="AM73" s="30">
        <v>1.2</v>
      </c>
      <c r="AN73" s="30">
        <v>425</v>
      </c>
      <c r="AO73" s="30">
        <v>1.2</v>
      </c>
      <c r="AP73" s="30">
        <v>550</v>
      </c>
      <c r="AQ73" s="30">
        <v>3</v>
      </c>
      <c r="AR73" s="30">
        <v>710</v>
      </c>
      <c r="AS73" s="30">
        <v>2.5</v>
      </c>
      <c r="AT73" s="30">
        <v>949</v>
      </c>
      <c r="AU73" s="30">
        <v>10</v>
      </c>
      <c r="AV73" s="30">
        <v>830</v>
      </c>
      <c r="AW73" s="30">
        <v>2</v>
      </c>
      <c r="AX73" s="30">
        <v>1780</v>
      </c>
      <c r="AY73" s="30">
        <v>2</v>
      </c>
      <c r="AZ73" s="30">
        <v>2372</v>
      </c>
      <c r="BA73" s="30">
        <v>13</v>
      </c>
      <c r="BB73" s="30">
        <v>2500</v>
      </c>
      <c r="BC73" s="30">
        <v>2.5</v>
      </c>
      <c r="BD73" s="30">
        <v>3800</v>
      </c>
      <c r="BE73" s="30">
        <v>18</v>
      </c>
      <c r="BF73" s="30">
        <v>3500</v>
      </c>
      <c r="BG73" s="30">
        <v>20</v>
      </c>
      <c r="BH73" s="30">
        <v>4400</v>
      </c>
      <c r="BI73" s="30">
        <v>4</v>
      </c>
      <c r="BJ73" s="30">
        <v>7500</v>
      </c>
      <c r="BK73" s="30">
        <v>10</v>
      </c>
      <c r="BL73" s="30">
        <v>8250</v>
      </c>
      <c r="BM73" s="30">
        <v>18</v>
      </c>
      <c r="BN73" s="30">
        <v>9000</v>
      </c>
      <c r="BO73" s="30">
        <v>24</v>
      </c>
      <c r="BP73" s="30">
        <v>10500</v>
      </c>
      <c r="BQ73" s="30">
        <v>6</v>
      </c>
      <c r="BR73" s="30">
        <v>15000</v>
      </c>
      <c r="BS73" s="30">
        <v>8</v>
      </c>
      <c r="BT73" s="30">
        <v>17000</v>
      </c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</row>
    <row r="74" spans="11:251" ht="13.5" thickBot="1">
      <c r="K74">
        <v>1</v>
      </c>
      <c r="L74" s="25" t="b">
        <f aca="true" t="shared" si="45" ref="L74:L91">IF($N$39=1,U24,IF($N$39=2,U85,IF($N$39=3,U159,IF($N$39=4,U207))))</f>
        <v>0</v>
      </c>
      <c r="N74" s="44"/>
      <c r="O74" s="44"/>
      <c r="Q74" s="30">
        <f aca="true" t="shared" si="46" ref="Q74:Q82">Q73+1</f>
        <v>31</v>
      </c>
      <c r="R74" s="30">
        <f aca="true" t="shared" si="47" ref="R74:R82">R73+1</f>
        <v>43</v>
      </c>
      <c r="S74" s="30" t="e">
        <f t="shared" si="44"/>
        <v>#N/A</v>
      </c>
      <c r="T74" s="30" t="e">
        <f>HLOOKUP($T$70,$W$69:$BR$119,R74)*T2</f>
        <v>#N/A</v>
      </c>
      <c r="U74" s="33" t="e">
        <f>HLOOKUP($T$70,$W$69:$BT$94,6)</f>
        <v>#N/A</v>
      </c>
      <c r="V74" s="33" t="e">
        <f>HLOOKUP($T$70,$W$69:$BT$94,18)*T2</f>
        <v>#N/A</v>
      </c>
      <c r="W74" s="31">
        <v>3</v>
      </c>
      <c r="X74" s="30">
        <v>30</v>
      </c>
      <c r="Y74" s="30">
        <v>3</v>
      </c>
      <c r="Z74" s="30">
        <v>45</v>
      </c>
      <c r="AA74" s="30">
        <v>3.5</v>
      </c>
      <c r="AB74" s="30">
        <v>60</v>
      </c>
      <c r="AC74" s="30">
        <v>3.7</v>
      </c>
      <c r="AD74" s="30">
        <v>84</v>
      </c>
      <c r="AE74" s="30">
        <v>3.4</v>
      </c>
      <c r="AF74" s="30">
        <v>170</v>
      </c>
      <c r="AG74" s="30">
        <v>3.6</v>
      </c>
      <c r="AH74" s="30">
        <v>160</v>
      </c>
      <c r="AI74" s="30">
        <v>2.75</v>
      </c>
      <c r="AJ74" s="30">
        <v>247</v>
      </c>
      <c r="AK74" s="30">
        <v>4.5</v>
      </c>
      <c r="AL74" s="32">
        <v>226.7</v>
      </c>
      <c r="AM74" s="30">
        <v>4.5</v>
      </c>
      <c r="AN74" s="30">
        <v>313</v>
      </c>
      <c r="AO74" s="30">
        <v>8</v>
      </c>
      <c r="AP74" s="30">
        <v>383</v>
      </c>
      <c r="AQ74" s="30">
        <v>9</v>
      </c>
      <c r="AR74" s="30">
        <v>415</v>
      </c>
      <c r="AS74" s="30">
        <v>10</v>
      </c>
      <c r="AT74" s="30">
        <v>474</v>
      </c>
      <c r="AU74" s="30">
        <v>0</v>
      </c>
      <c r="AV74" s="30">
        <v>830</v>
      </c>
      <c r="AW74" s="30">
        <v>14</v>
      </c>
      <c r="AX74" s="30">
        <v>1100</v>
      </c>
      <c r="AY74" s="30">
        <v>18</v>
      </c>
      <c r="AZ74" s="30">
        <v>1490</v>
      </c>
      <c r="BA74" s="30">
        <v>13</v>
      </c>
      <c r="BB74" s="30">
        <v>1600</v>
      </c>
      <c r="BC74" s="30">
        <v>15</v>
      </c>
      <c r="BD74" s="30">
        <v>2900</v>
      </c>
      <c r="BE74" s="30">
        <v>18</v>
      </c>
      <c r="BF74" s="30">
        <v>1650</v>
      </c>
      <c r="BG74" s="30">
        <v>20</v>
      </c>
      <c r="BH74" s="30">
        <v>2150</v>
      </c>
      <c r="BI74" s="30">
        <v>22</v>
      </c>
      <c r="BJ74" s="30">
        <v>5200</v>
      </c>
      <c r="BK74" s="30">
        <v>14.5</v>
      </c>
      <c r="BL74" s="30">
        <v>7900</v>
      </c>
      <c r="BM74" s="30">
        <v>28</v>
      </c>
      <c r="BN74" s="30">
        <v>7300</v>
      </c>
      <c r="BO74" s="30">
        <v>34</v>
      </c>
      <c r="BP74" s="30">
        <v>9000</v>
      </c>
      <c r="BQ74" s="30">
        <v>30</v>
      </c>
      <c r="BR74" s="30">
        <v>12200</v>
      </c>
      <c r="BS74" s="30">
        <v>32</v>
      </c>
      <c r="BT74" s="30">
        <v>13900</v>
      </c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</row>
    <row r="75" spans="11:251" ht="13.5" thickBot="1">
      <c r="K75">
        <v>2</v>
      </c>
      <c r="L75" s="26" t="b">
        <f t="shared" si="45"/>
        <v>0</v>
      </c>
      <c r="N75" s="42">
        <v>1</v>
      </c>
      <c r="O75" s="44"/>
      <c r="Q75" s="30">
        <f t="shared" si="46"/>
        <v>32</v>
      </c>
      <c r="R75" s="30">
        <f t="shared" si="47"/>
        <v>44</v>
      </c>
      <c r="S75" s="30" t="e">
        <f t="shared" si="44"/>
        <v>#N/A</v>
      </c>
      <c r="T75" s="30" t="e">
        <f>HLOOKUP($T$70,$W$69:$BR$119,R75)*T2</f>
        <v>#N/A</v>
      </c>
      <c r="U75" s="33" t="e">
        <f>HLOOKUP($T$70,$W$69:$BT$94,7)</f>
        <v>#N/A</v>
      </c>
      <c r="V75" s="33" t="e">
        <f>HLOOKUP($T$70,$W$69:$BT$94,19)*T2</f>
        <v>#N/A</v>
      </c>
      <c r="W75" s="31">
        <v>3</v>
      </c>
      <c r="X75" s="30">
        <v>17.6</v>
      </c>
      <c r="Y75" s="30">
        <v>3</v>
      </c>
      <c r="Z75" s="30">
        <v>20</v>
      </c>
      <c r="AA75" s="30">
        <v>3.5</v>
      </c>
      <c r="AB75" s="30">
        <v>47</v>
      </c>
      <c r="AC75" s="30">
        <v>3.7</v>
      </c>
      <c r="AD75" s="30">
        <v>60</v>
      </c>
      <c r="AE75" s="30">
        <v>3.4</v>
      </c>
      <c r="AF75" s="30">
        <v>73.4</v>
      </c>
      <c r="AG75" s="30">
        <v>3.6</v>
      </c>
      <c r="AH75" s="30">
        <v>86.4</v>
      </c>
      <c r="AI75" s="30">
        <v>5.5</v>
      </c>
      <c r="AJ75" s="30">
        <v>152</v>
      </c>
      <c r="AK75" s="30">
        <v>4.5</v>
      </c>
      <c r="AL75" s="32">
        <v>110</v>
      </c>
      <c r="AM75" s="30">
        <v>4.5</v>
      </c>
      <c r="AN75" s="30">
        <v>250</v>
      </c>
      <c r="AO75" s="30">
        <v>8</v>
      </c>
      <c r="AP75" s="30">
        <v>300</v>
      </c>
      <c r="AQ75" s="30">
        <v>0</v>
      </c>
      <c r="AR75" s="30">
        <v>415</v>
      </c>
      <c r="AS75" s="30">
        <v>0</v>
      </c>
      <c r="AT75" s="30">
        <v>474</v>
      </c>
      <c r="AU75" s="30">
        <v>0</v>
      </c>
      <c r="AV75" s="30">
        <v>1423</v>
      </c>
      <c r="AW75" s="30">
        <v>14</v>
      </c>
      <c r="AX75" s="30">
        <v>920</v>
      </c>
      <c r="AY75" s="30">
        <v>18</v>
      </c>
      <c r="AZ75" s="30">
        <v>1160</v>
      </c>
      <c r="BA75" s="30">
        <v>8.5</v>
      </c>
      <c r="BB75" s="30">
        <v>1000</v>
      </c>
      <c r="BC75" s="30">
        <v>15</v>
      </c>
      <c r="BD75" s="30">
        <v>2150</v>
      </c>
      <c r="BE75" s="30">
        <v>16.2</v>
      </c>
      <c r="BF75" s="30">
        <v>1578</v>
      </c>
      <c r="BG75" s="30">
        <v>15.5</v>
      </c>
      <c r="BH75" s="30">
        <v>1795</v>
      </c>
      <c r="BI75" s="30">
        <v>22</v>
      </c>
      <c r="BJ75" s="30">
        <v>2800</v>
      </c>
      <c r="BK75" s="30">
        <v>24</v>
      </c>
      <c r="BL75" s="30">
        <v>6500</v>
      </c>
      <c r="BM75" s="30">
        <v>28</v>
      </c>
      <c r="BN75" s="30">
        <v>4900</v>
      </c>
      <c r="BO75" s="30">
        <v>34</v>
      </c>
      <c r="BP75" s="30">
        <v>5300</v>
      </c>
      <c r="BQ75" s="30">
        <v>36</v>
      </c>
      <c r="BR75" s="30">
        <v>11000</v>
      </c>
      <c r="BS75" s="30">
        <v>38</v>
      </c>
      <c r="BT75" s="30">
        <v>12900</v>
      </c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</row>
    <row r="76" spans="11:251" ht="13.5" thickBot="1">
      <c r="K76">
        <v>3</v>
      </c>
      <c r="L76" s="26" t="b">
        <f t="shared" si="45"/>
        <v>0</v>
      </c>
      <c r="N76" s="68"/>
      <c r="O76" s="44"/>
      <c r="Q76" s="30">
        <f t="shared" si="46"/>
        <v>33</v>
      </c>
      <c r="R76" s="30">
        <f t="shared" si="47"/>
        <v>45</v>
      </c>
      <c r="S76" s="30" t="e">
        <f t="shared" si="44"/>
        <v>#N/A</v>
      </c>
      <c r="T76" s="30" t="e">
        <f>HLOOKUP($T$70,$W$69:$BR$119,R76)*T2</f>
        <v>#N/A</v>
      </c>
      <c r="U76" s="33" t="e">
        <f>HLOOKUP($T$70,$W$69:$BT$94,8)</f>
        <v>#N/A</v>
      </c>
      <c r="V76" s="33" t="e">
        <f>HLOOKUP($T$70,$W$69:$BT$94,20)*T2</f>
        <v>#N/A</v>
      </c>
      <c r="W76" s="31">
        <v>0</v>
      </c>
      <c r="X76" s="30">
        <v>17.6</v>
      </c>
      <c r="Y76" s="30">
        <v>0</v>
      </c>
      <c r="Z76" s="30">
        <v>20</v>
      </c>
      <c r="AA76" s="30">
        <v>0</v>
      </c>
      <c r="AB76" s="30">
        <v>47</v>
      </c>
      <c r="AC76" s="30">
        <v>0</v>
      </c>
      <c r="AD76" s="30">
        <v>60</v>
      </c>
      <c r="AE76" s="30">
        <v>0</v>
      </c>
      <c r="AF76" s="30">
        <v>73.4</v>
      </c>
      <c r="AG76" s="30">
        <v>0</v>
      </c>
      <c r="AH76" s="30">
        <v>86.4</v>
      </c>
      <c r="AI76" s="30">
        <v>2.4</v>
      </c>
      <c r="AJ76" s="30">
        <v>102</v>
      </c>
      <c r="AK76" s="30">
        <v>0</v>
      </c>
      <c r="AL76" s="32">
        <v>110</v>
      </c>
      <c r="AM76" s="30">
        <v>1</v>
      </c>
      <c r="AN76" s="30">
        <v>166</v>
      </c>
      <c r="AO76" s="30">
        <v>3.5</v>
      </c>
      <c r="AP76" s="30">
        <v>202</v>
      </c>
      <c r="AQ76" s="30">
        <v>0</v>
      </c>
      <c r="AR76" s="30">
        <v>710</v>
      </c>
      <c r="AS76" s="30">
        <v>0</v>
      </c>
      <c r="AT76" s="30">
        <v>949</v>
      </c>
      <c r="AU76" s="30">
        <v>0</v>
      </c>
      <c r="AV76" s="30">
        <v>1423</v>
      </c>
      <c r="AW76" s="30">
        <v>4.9</v>
      </c>
      <c r="AX76" s="30">
        <v>592</v>
      </c>
      <c r="AY76" s="30">
        <v>4.9</v>
      </c>
      <c r="AZ76" s="30">
        <v>710</v>
      </c>
      <c r="BA76" s="30">
        <v>0</v>
      </c>
      <c r="BB76" s="30">
        <v>1000</v>
      </c>
      <c r="BC76" s="30">
        <v>9.4</v>
      </c>
      <c r="BD76" s="30">
        <v>1300</v>
      </c>
      <c r="BE76" s="30">
        <v>0</v>
      </c>
      <c r="BF76" s="30">
        <v>1578</v>
      </c>
      <c r="BG76" s="30">
        <v>0</v>
      </c>
      <c r="BH76" s="30">
        <v>1795</v>
      </c>
      <c r="BI76" s="30">
        <v>16</v>
      </c>
      <c r="BJ76" s="30">
        <v>2417</v>
      </c>
      <c r="BK76" s="30">
        <v>24</v>
      </c>
      <c r="BL76" s="30">
        <v>3800</v>
      </c>
      <c r="BM76" s="30">
        <v>17.5</v>
      </c>
      <c r="BN76" s="30">
        <v>3300</v>
      </c>
      <c r="BO76" s="30">
        <v>27</v>
      </c>
      <c r="BP76" s="30">
        <v>4367</v>
      </c>
      <c r="BQ76" s="30">
        <v>36</v>
      </c>
      <c r="BR76" s="30">
        <v>7000</v>
      </c>
      <c r="BS76" s="30">
        <v>38</v>
      </c>
      <c r="BT76" s="30">
        <v>8000</v>
      </c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</row>
    <row r="77" spans="11:251" ht="13.5" thickBot="1">
      <c r="K77">
        <f>K76+1</f>
        <v>4</v>
      </c>
      <c r="L77" s="26" t="b">
        <f t="shared" si="45"/>
        <v>0</v>
      </c>
      <c r="N77" s="44"/>
      <c r="O77" s="44"/>
      <c r="Q77" s="30">
        <f t="shared" si="46"/>
        <v>34</v>
      </c>
      <c r="R77" s="30">
        <f t="shared" si="47"/>
        <v>46</v>
      </c>
      <c r="S77" s="30" t="e">
        <f t="shared" si="44"/>
        <v>#N/A</v>
      </c>
      <c r="T77" s="30" t="e">
        <f>HLOOKUP($T$70,$W$69:$BR$119,R77)*T2</f>
        <v>#N/A</v>
      </c>
      <c r="U77" s="33" t="e">
        <f>HLOOKUP($T$70,$W$69:$BT$94,9)</f>
        <v>#N/A</v>
      </c>
      <c r="V77" s="33" t="e">
        <f>HLOOKUP($T$70,$W$69:$BT$94,21)*T2</f>
        <v>#N/A</v>
      </c>
      <c r="W77" s="31">
        <v>0</v>
      </c>
      <c r="X77" s="30">
        <v>41.4</v>
      </c>
      <c r="Y77" s="30">
        <v>0</v>
      </c>
      <c r="Z77" s="30">
        <v>59</v>
      </c>
      <c r="AA77" s="30">
        <v>0</v>
      </c>
      <c r="AB77" s="30">
        <v>105</v>
      </c>
      <c r="AC77" s="30">
        <v>0</v>
      </c>
      <c r="AD77" s="30">
        <v>130</v>
      </c>
      <c r="AE77" s="30">
        <v>0</v>
      </c>
      <c r="AF77" s="30">
        <v>190</v>
      </c>
      <c r="AG77" s="30">
        <v>0</v>
      </c>
      <c r="AH77" s="30">
        <v>237</v>
      </c>
      <c r="AI77" s="30">
        <v>0</v>
      </c>
      <c r="AJ77" s="30">
        <v>102</v>
      </c>
      <c r="AK77" s="30">
        <v>0</v>
      </c>
      <c r="AL77" s="32">
        <v>319</v>
      </c>
      <c r="AM77" s="30">
        <v>0</v>
      </c>
      <c r="AN77" s="30">
        <v>166</v>
      </c>
      <c r="AO77" s="30">
        <v>0</v>
      </c>
      <c r="AP77" s="30">
        <v>202</v>
      </c>
      <c r="AQ77" s="30">
        <v>0</v>
      </c>
      <c r="AR77" s="30">
        <v>710</v>
      </c>
      <c r="AS77" s="30">
        <v>0</v>
      </c>
      <c r="AT77" s="30">
        <v>949</v>
      </c>
      <c r="AU77" s="30">
        <v>0</v>
      </c>
      <c r="AV77" s="30">
        <v>1423</v>
      </c>
      <c r="AW77" s="30">
        <v>0</v>
      </c>
      <c r="AX77" s="30">
        <v>592</v>
      </c>
      <c r="AY77" s="30">
        <v>0</v>
      </c>
      <c r="AZ77" s="30">
        <v>710</v>
      </c>
      <c r="BA77" s="30">
        <v>0</v>
      </c>
      <c r="BB77" s="30">
        <v>3000</v>
      </c>
      <c r="BC77" s="30">
        <v>0</v>
      </c>
      <c r="BD77" s="30">
        <v>1300</v>
      </c>
      <c r="BE77" s="30">
        <v>0</v>
      </c>
      <c r="BF77" s="30">
        <v>5000</v>
      </c>
      <c r="BG77" s="30">
        <v>0</v>
      </c>
      <c r="BH77" s="30">
        <v>5800</v>
      </c>
      <c r="BI77" s="30">
        <v>0</v>
      </c>
      <c r="BJ77" s="30">
        <v>2417</v>
      </c>
      <c r="BK77" s="30">
        <v>17</v>
      </c>
      <c r="BL77" s="30">
        <v>2750</v>
      </c>
      <c r="BM77" s="30">
        <v>0</v>
      </c>
      <c r="BN77" s="30">
        <v>3300</v>
      </c>
      <c r="BO77" s="30">
        <v>0</v>
      </c>
      <c r="BP77" s="30">
        <v>4367</v>
      </c>
      <c r="BQ77" s="30">
        <v>26</v>
      </c>
      <c r="BR77" s="30">
        <v>5000</v>
      </c>
      <c r="BS77" s="30">
        <v>29</v>
      </c>
      <c r="BT77" s="30">
        <v>5600</v>
      </c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</row>
    <row r="78" spans="11:251" ht="13.5" thickBot="1">
      <c r="K78">
        <f aca="true" t="shared" si="48" ref="K78:K95">K77+1</f>
        <v>5</v>
      </c>
      <c r="L78" s="26" t="b">
        <f t="shared" si="45"/>
        <v>0</v>
      </c>
      <c r="N78" s="44"/>
      <c r="O78" s="44"/>
      <c r="Q78" s="30">
        <f t="shared" si="46"/>
        <v>35</v>
      </c>
      <c r="R78" s="30">
        <f t="shared" si="47"/>
        <v>47</v>
      </c>
      <c r="S78" s="30" t="e">
        <f t="shared" si="44"/>
        <v>#N/A</v>
      </c>
      <c r="T78" s="30" t="e">
        <f>HLOOKUP($T$70,$W$69:$BR$119,R78)*T2</f>
        <v>#N/A</v>
      </c>
      <c r="U78" s="33" t="e">
        <f>HLOOKUP($T$70,$W$69:$BT$94,10)</f>
        <v>#N/A</v>
      </c>
      <c r="V78" s="33" t="e">
        <f>HLOOKUP($T$70,$W$69:$BT$94,22)*T2</f>
        <v>#N/A</v>
      </c>
      <c r="W78" s="31">
        <v>0</v>
      </c>
      <c r="X78" s="30">
        <v>41.4</v>
      </c>
      <c r="Y78" s="30">
        <v>0</v>
      </c>
      <c r="Z78" s="30">
        <v>59</v>
      </c>
      <c r="AA78" s="30">
        <v>0</v>
      </c>
      <c r="AB78" s="30">
        <v>105</v>
      </c>
      <c r="AC78" s="30">
        <v>0</v>
      </c>
      <c r="AD78" s="30">
        <v>130</v>
      </c>
      <c r="AE78" s="30">
        <v>0</v>
      </c>
      <c r="AF78" s="30">
        <v>190</v>
      </c>
      <c r="AG78" s="30">
        <v>0</v>
      </c>
      <c r="AH78" s="30">
        <v>237</v>
      </c>
      <c r="AI78" s="30">
        <v>0</v>
      </c>
      <c r="AJ78" s="30">
        <v>300</v>
      </c>
      <c r="AK78" s="30">
        <v>0</v>
      </c>
      <c r="AL78" s="32">
        <v>319</v>
      </c>
      <c r="AM78" s="30">
        <v>0</v>
      </c>
      <c r="AN78" s="30">
        <v>425</v>
      </c>
      <c r="AO78" s="30">
        <v>0</v>
      </c>
      <c r="AP78" s="30">
        <v>550</v>
      </c>
      <c r="AQ78" s="30">
        <v>0</v>
      </c>
      <c r="AR78" s="30">
        <v>710</v>
      </c>
      <c r="AS78" s="30">
        <v>0</v>
      </c>
      <c r="AT78" s="30">
        <v>949</v>
      </c>
      <c r="AU78" s="30">
        <v>0</v>
      </c>
      <c r="AV78" s="30">
        <v>1423</v>
      </c>
      <c r="AW78" s="30">
        <v>0</v>
      </c>
      <c r="AX78" s="30">
        <v>1780</v>
      </c>
      <c r="AY78" s="30">
        <v>0</v>
      </c>
      <c r="AZ78" s="30">
        <v>2372</v>
      </c>
      <c r="BA78" s="30">
        <v>0</v>
      </c>
      <c r="BB78" s="30">
        <v>3000</v>
      </c>
      <c r="BC78" s="30">
        <v>0</v>
      </c>
      <c r="BD78" s="30">
        <v>3900</v>
      </c>
      <c r="BE78" s="30">
        <v>0</v>
      </c>
      <c r="BF78" s="30">
        <v>5000</v>
      </c>
      <c r="BG78" s="30">
        <v>0</v>
      </c>
      <c r="BH78" s="30">
        <v>5800</v>
      </c>
      <c r="BI78" s="30">
        <v>0</v>
      </c>
      <c r="BJ78" s="30">
        <v>7250</v>
      </c>
      <c r="BK78" s="30">
        <v>0</v>
      </c>
      <c r="BL78" s="30">
        <v>2750</v>
      </c>
      <c r="BM78" s="30">
        <v>0</v>
      </c>
      <c r="BN78" s="30">
        <v>10500</v>
      </c>
      <c r="BO78" s="30">
        <v>0</v>
      </c>
      <c r="BP78" s="30">
        <v>13100</v>
      </c>
      <c r="BQ78" s="30">
        <v>0</v>
      </c>
      <c r="BR78" s="30">
        <v>5000</v>
      </c>
      <c r="BS78" s="30">
        <v>0</v>
      </c>
      <c r="BT78" s="30">
        <v>5600</v>
      </c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</row>
    <row r="79" spans="11:251" ht="13.5" thickBot="1">
      <c r="K79">
        <f t="shared" si="48"/>
        <v>6</v>
      </c>
      <c r="L79" s="26" t="b">
        <f t="shared" si="45"/>
        <v>0</v>
      </c>
      <c r="N79" s="75" t="b">
        <f>VLOOKUP(N75,K74:L95,2)</f>
        <v>0</v>
      </c>
      <c r="O79" s="44"/>
      <c r="Q79" s="30">
        <f t="shared" si="46"/>
        <v>36</v>
      </c>
      <c r="R79" s="30">
        <f t="shared" si="47"/>
        <v>48</v>
      </c>
      <c r="S79" s="30" t="e">
        <f t="shared" si="44"/>
        <v>#N/A</v>
      </c>
      <c r="T79" s="30" t="e">
        <f>HLOOKUP($T$70,$W$69:$BR$119,R79)*T2</f>
        <v>#N/A</v>
      </c>
      <c r="U79" s="33" t="e">
        <f>HLOOKUP($T$70,$W$69:$BT$94,11)</f>
        <v>#N/A</v>
      </c>
      <c r="V79" s="33" t="e">
        <f>HLOOKUP($T$70,$W$69:$BT$94,23)*T2</f>
        <v>#N/A</v>
      </c>
      <c r="W79" s="31">
        <v>0</v>
      </c>
      <c r="X79" s="30">
        <v>41.4</v>
      </c>
      <c r="Y79" s="30">
        <v>0</v>
      </c>
      <c r="Z79" s="30">
        <v>59</v>
      </c>
      <c r="AA79" s="30">
        <v>0</v>
      </c>
      <c r="AB79" s="30">
        <v>105</v>
      </c>
      <c r="AC79" s="30">
        <v>0</v>
      </c>
      <c r="AD79" s="30">
        <v>130</v>
      </c>
      <c r="AE79" s="30">
        <v>0</v>
      </c>
      <c r="AF79" s="30">
        <v>190</v>
      </c>
      <c r="AG79" s="30">
        <v>0</v>
      </c>
      <c r="AH79" s="30">
        <v>237</v>
      </c>
      <c r="AI79" s="30">
        <v>0</v>
      </c>
      <c r="AJ79" s="30">
        <v>300</v>
      </c>
      <c r="AK79" s="30">
        <v>0</v>
      </c>
      <c r="AL79" s="32">
        <v>319</v>
      </c>
      <c r="AM79" s="30">
        <v>0</v>
      </c>
      <c r="AN79" s="30">
        <v>425</v>
      </c>
      <c r="AO79" s="30">
        <v>0</v>
      </c>
      <c r="AP79" s="30">
        <v>550</v>
      </c>
      <c r="AQ79" s="30">
        <v>0</v>
      </c>
      <c r="AR79" s="30">
        <v>710</v>
      </c>
      <c r="AS79" s="30">
        <v>0</v>
      </c>
      <c r="AT79" s="30">
        <v>949</v>
      </c>
      <c r="AU79" s="30">
        <v>0</v>
      </c>
      <c r="AV79" s="30">
        <v>1423</v>
      </c>
      <c r="AW79" s="30">
        <v>0</v>
      </c>
      <c r="AX79" s="30">
        <v>1780</v>
      </c>
      <c r="AY79" s="30">
        <v>0</v>
      </c>
      <c r="AZ79" s="30">
        <v>2372</v>
      </c>
      <c r="BA79" s="30">
        <v>0</v>
      </c>
      <c r="BB79" s="30">
        <v>3000</v>
      </c>
      <c r="BC79" s="30">
        <v>0</v>
      </c>
      <c r="BD79" s="30">
        <v>3900</v>
      </c>
      <c r="BE79" s="30">
        <v>0</v>
      </c>
      <c r="BF79" s="30">
        <v>5000</v>
      </c>
      <c r="BG79" s="30">
        <v>0</v>
      </c>
      <c r="BH79" s="30">
        <v>5800</v>
      </c>
      <c r="BI79" s="30">
        <v>0</v>
      </c>
      <c r="BJ79" s="30">
        <v>7250</v>
      </c>
      <c r="BK79" s="30">
        <v>0</v>
      </c>
      <c r="BL79" s="30">
        <v>8500</v>
      </c>
      <c r="BM79" s="30">
        <v>0</v>
      </c>
      <c r="BN79" s="30">
        <v>10500</v>
      </c>
      <c r="BO79" s="30">
        <v>0</v>
      </c>
      <c r="BP79" s="30">
        <v>13100</v>
      </c>
      <c r="BQ79" s="30">
        <v>0</v>
      </c>
      <c r="BR79" s="30">
        <v>5000</v>
      </c>
      <c r="BS79" s="30">
        <v>0</v>
      </c>
      <c r="BT79" s="30">
        <v>5600</v>
      </c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</row>
    <row r="80" spans="11:251" ht="13.5" thickBot="1">
      <c r="K80">
        <f t="shared" si="48"/>
        <v>7</v>
      </c>
      <c r="L80" s="26" t="b">
        <f t="shared" si="45"/>
        <v>0</v>
      </c>
      <c r="Q80" s="30">
        <f t="shared" si="46"/>
        <v>37</v>
      </c>
      <c r="R80" s="30">
        <f t="shared" si="47"/>
        <v>49</v>
      </c>
      <c r="S80" s="30" t="e">
        <f t="shared" si="44"/>
        <v>#N/A</v>
      </c>
      <c r="T80" s="30" t="e">
        <f>HLOOKUP($T$70,$W$69:$BR$119,R80)*T2</f>
        <v>#N/A</v>
      </c>
      <c r="U80" s="33" t="e">
        <f>HLOOKUP($T$70,$W$69:$BT$94,12)</f>
        <v>#N/A</v>
      </c>
      <c r="V80" s="33" t="e">
        <f>HLOOKUP($T$70,$W$69:$BT$94,24)*T2</f>
        <v>#N/A</v>
      </c>
      <c r="W80" s="31">
        <v>0</v>
      </c>
      <c r="X80" s="30">
        <v>41.4</v>
      </c>
      <c r="Y80" s="30">
        <v>0</v>
      </c>
      <c r="Z80" s="30">
        <v>59</v>
      </c>
      <c r="AA80" s="30">
        <v>0</v>
      </c>
      <c r="AB80" s="30">
        <v>105</v>
      </c>
      <c r="AC80" s="30">
        <v>0</v>
      </c>
      <c r="AD80" s="30">
        <v>130</v>
      </c>
      <c r="AE80" s="30">
        <v>0</v>
      </c>
      <c r="AF80" s="30">
        <v>190</v>
      </c>
      <c r="AG80" s="30">
        <v>0</v>
      </c>
      <c r="AH80" s="30">
        <v>237</v>
      </c>
      <c r="AI80" s="30">
        <v>0</v>
      </c>
      <c r="AJ80" s="30">
        <v>300</v>
      </c>
      <c r="AK80" s="30">
        <v>0</v>
      </c>
      <c r="AL80" s="32">
        <v>319</v>
      </c>
      <c r="AM80" s="30">
        <v>0</v>
      </c>
      <c r="AN80" s="30">
        <v>425</v>
      </c>
      <c r="AO80" s="30">
        <v>0</v>
      </c>
      <c r="AP80" s="30">
        <v>550</v>
      </c>
      <c r="AQ80" s="30">
        <v>0</v>
      </c>
      <c r="AR80" s="30">
        <v>710</v>
      </c>
      <c r="AS80" s="30">
        <v>0</v>
      </c>
      <c r="AT80" s="30">
        <v>949</v>
      </c>
      <c r="AU80" s="30">
        <v>0</v>
      </c>
      <c r="AV80" s="30">
        <v>1423</v>
      </c>
      <c r="AW80" s="30">
        <v>0</v>
      </c>
      <c r="AX80" s="30">
        <v>1780</v>
      </c>
      <c r="AY80" s="30">
        <v>0</v>
      </c>
      <c r="AZ80" s="30">
        <v>2372</v>
      </c>
      <c r="BA80" s="30">
        <v>0</v>
      </c>
      <c r="BB80" s="30">
        <v>3000</v>
      </c>
      <c r="BC80" s="30">
        <v>0</v>
      </c>
      <c r="BD80" s="30">
        <v>3900</v>
      </c>
      <c r="BE80" s="30">
        <v>0</v>
      </c>
      <c r="BF80" s="30">
        <v>5000</v>
      </c>
      <c r="BG80" s="30">
        <v>0</v>
      </c>
      <c r="BH80" s="30">
        <v>5800</v>
      </c>
      <c r="BI80" s="30">
        <v>0</v>
      </c>
      <c r="BJ80" s="30">
        <v>7250</v>
      </c>
      <c r="BK80" s="30">
        <v>0</v>
      </c>
      <c r="BL80" s="30">
        <v>8500</v>
      </c>
      <c r="BM80" s="30">
        <v>0</v>
      </c>
      <c r="BN80" s="30">
        <v>10500</v>
      </c>
      <c r="BO80" s="30">
        <v>0</v>
      </c>
      <c r="BP80" s="30">
        <v>13100</v>
      </c>
      <c r="BQ80" s="30">
        <v>0</v>
      </c>
      <c r="BR80" s="30">
        <v>5000</v>
      </c>
      <c r="BS80" s="30">
        <v>0</v>
      </c>
      <c r="BT80" s="30">
        <v>5600</v>
      </c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</row>
    <row r="81" spans="11:251" ht="13.5" thickBot="1">
      <c r="K81">
        <f t="shared" si="48"/>
        <v>8</v>
      </c>
      <c r="L81" s="26" t="b">
        <f t="shared" si="45"/>
        <v>0</v>
      </c>
      <c r="Q81" s="30">
        <f t="shared" si="46"/>
        <v>38</v>
      </c>
      <c r="R81" s="30">
        <f t="shared" si="47"/>
        <v>50</v>
      </c>
      <c r="S81" s="30" t="e">
        <f t="shared" si="44"/>
        <v>#N/A</v>
      </c>
      <c r="T81" s="30" t="e">
        <f>HLOOKUP($T$70,$W$69:$BR$119,R81)*T2</f>
        <v>#N/A</v>
      </c>
      <c r="U81" s="33" t="e">
        <f>HLOOKUP($T$70,$W$69:$BT$94,13)</f>
        <v>#N/A</v>
      </c>
      <c r="V81" s="33" t="e">
        <f>HLOOKUP($T$70,$W$69:$BT$94,25)*T2</f>
        <v>#N/A</v>
      </c>
      <c r="W81" s="31">
        <v>0</v>
      </c>
      <c r="X81" s="30">
        <v>41.4</v>
      </c>
      <c r="Y81" s="30">
        <v>0</v>
      </c>
      <c r="Z81" s="30">
        <v>59</v>
      </c>
      <c r="AA81" s="30">
        <v>0</v>
      </c>
      <c r="AB81" s="30">
        <v>105</v>
      </c>
      <c r="AC81" s="30">
        <v>0</v>
      </c>
      <c r="AD81" s="30">
        <v>130</v>
      </c>
      <c r="AE81" s="30">
        <v>0</v>
      </c>
      <c r="AF81" s="30">
        <v>190</v>
      </c>
      <c r="AG81" s="30">
        <v>0</v>
      </c>
      <c r="AH81" s="30">
        <v>237</v>
      </c>
      <c r="AI81" s="30">
        <v>0</v>
      </c>
      <c r="AJ81" s="30">
        <v>300</v>
      </c>
      <c r="AK81" s="30">
        <v>0</v>
      </c>
      <c r="AL81" s="32">
        <v>319</v>
      </c>
      <c r="AM81" s="30">
        <v>0</v>
      </c>
      <c r="AN81" s="30">
        <v>425</v>
      </c>
      <c r="AO81" s="30">
        <v>0</v>
      </c>
      <c r="AP81" s="30">
        <v>550</v>
      </c>
      <c r="AQ81" s="30">
        <v>0</v>
      </c>
      <c r="AR81" s="30">
        <v>710</v>
      </c>
      <c r="AS81" s="30">
        <v>0</v>
      </c>
      <c r="AT81" s="30">
        <v>949</v>
      </c>
      <c r="AU81" s="30">
        <v>0</v>
      </c>
      <c r="AV81" s="30">
        <v>1423</v>
      </c>
      <c r="AW81" s="30">
        <v>0</v>
      </c>
      <c r="AX81" s="30">
        <v>1780</v>
      </c>
      <c r="AY81" s="30">
        <v>0</v>
      </c>
      <c r="AZ81" s="30">
        <v>2372</v>
      </c>
      <c r="BA81" s="30">
        <v>0</v>
      </c>
      <c r="BB81" s="30">
        <v>3000</v>
      </c>
      <c r="BC81" s="30">
        <v>0</v>
      </c>
      <c r="BD81" s="30">
        <v>3900</v>
      </c>
      <c r="BE81" s="30">
        <v>0</v>
      </c>
      <c r="BF81" s="30">
        <v>5000</v>
      </c>
      <c r="BG81" s="30">
        <v>0</v>
      </c>
      <c r="BH81" s="30">
        <v>5800</v>
      </c>
      <c r="BI81" s="30">
        <v>0</v>
      </c>
      <c r="BJ81" s="30">
        <v>7250</v>
      </c>
      <c r="BK81" s="30">
        <v>0</v>
      </c>
      <c r="BL81" s="30">
        <v>8500</v>
      </c>
      <c r="BM81" s="30">
        <v>0</v>
      </c>
      <c r="BN81" s="30">
        <v>10500</v>
      </c>
      <c r="BO81" s="30">
        <v>0</v>
      </c>
      <c r="BP81" s="30">
        <v>13100</v>
      </c>
      <c r="BQ81" s="30">
        <v>0</v>
      </c>
      <c r="BR81" s="30">
        <v>5000</v>
      </c>
      <c r="BS81" s="30">
        <v>0</v>
      </c>
      <c r="BT81" s="30">
        <v>5600</v>
      </c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</row>
    <row r="82" spans="11:251" ht="12.75">
      <c r="K82">
        <f t="shared" si="48"/>
        <v>9</v>
      </c>
      <c r="L82" s="26" t="b">
        <f t="shared" si="45"/>
        <v>0</v>
      </c>
      <c r="Q82" s="30">
        <f t="shared" si="46"/>
        <v>39</v>
      </c>
      <c r="R82" s="30">
        <f t="shared" si="47"/>
        <v>51</v>
      </c>
      <c r="S82" s="30" t="e">
        <f t="shared" si="44"/>
        <v>#N/A</v>
      </c>
      <c r="T82" s="30" t="e">
        <f>HLOOKUP($T$70,$W$69:$BR$119,R82)*T2</f>
        <v>#N/A</v>
      </c>
      <c r="U82" s="33" t="e">
        <f>HLOOKUP($T$70,$W$69:$BT$94,14)</f>
        <v>#N/A</v>
      </c>
      <c r="V82" s="33" t="e">
        <f>HLOOKUP($T$70,$W$69:$BT$94,26)*T2</f>
        <v>#N/A</v>
      </c>
      <c r="W82" s="31">
        <v>0</v>
      </c>
      <c r="X82" s="30">
        <v>41.4</v>
      </c>
      <c r="Y82" s="30">
        <v>0</v>
      </c>
      <c r="Z82" s="30">
        <v>59</v>
      </c>
      <c r="AA82" s="30">
        <v>0</v>
      </c>
      <c r="AB82" s="30">
        <v>105</v>
      </c>
      <c r="AC82" s="30">
        <v>0</v>
      </c>
      <c r="AD82" s="30">
        <v>130</v>
      </c>
      <c r="AE82" s="30">
        <v>0</v>
      </c>
      <c r="AF82" s="30">
        <v>190</v>
      </c>
      <c r="AG82" s="30">
        <v>0</v>
      </c>
      <c r="AH82" s="30">
        <v>237</v>
      </c>
      <c r="AI82" s="30">
        <v>0</v>
      </c>
      <c r="AJ82" s="30">
        <v>300</v>
      </c>
      <c r="AK82" s="30">
        <v>0</v>
      </c>
      <c r="AL82" s="32">
        <v>319</v>
      </c>
      <c r="AM82" s="30">
        <v>0</v>
      </c>
      <c r="AN82" s="30">
        <v>425</v>
      </c>
      <c r="AO82" s="30">
        <v>0</v>
      </c>
      <c r="AP82" s="30">
        <v>550</v>
      </c>
      <c r="AQ82" s="30">
        <v>0</v>
      </c>
      <c r="AR82" s="30">
        <v>710</v>
      </c>
      <c r="AS82" s="30">
        <v>0</v>
      </c>
      <c r="AT82" s="30">
        <v>949</v>
      </c>
      <c r="AU82" s="30">
        <v>0</v>
      </c>
      <c r="AV82" s="30">
        <v>1423</v>
      </c>
      <c r="AW82" s="30">
        <v>0</v>
      </c>
      <c r="AX82" s="30">
        <v>1780</v>
      </c>
      <c r="AY82" s="30">
        <v>0</v>
      </c>
      <c r="AZ82" s="30">
        <v>2372</v>
      </c>
      <c r="BA82" s="30">
        <v>0</v>
      </c>
      <c r="BB82" s="30">
        <v>3000</v>
      </c>
      <c r="BC82" s="30">
        <v>0</v>
      </c>
      <c r="BD82" s="30">
        <v>3900</v>
      </c>
      <c r="BE82" s="30">
        <v>0</v>
      </c>
      <c r="BF82" s="30">
        <v>5000</v>
      </c>
      <c r="BG82" s="30">
        <v>0</v>
      </c>
      <c r="BH82" s="30">
        <v>5800</v>
      </c>
      <c r="BI82" s="30">
        <v>0</v>
      </c>
      <c r="BJ82" s="30">
        <v>7250</v>
      </c>
      <c r="BK82" s="30">
        <v>0</v>
      </c>
      <c r="BL82" s="30">
        <v>8500</v>
      </c>
      <c r="BM82" s="30">
        <v>0</v>
      </c>
      <c r="BN82" s="30">
        <v>10500</v>
      </c>
      <c r="BO82" s="30">
        <v>0</v>
      </c>
      <c r="BP82" s="30">
        <v>13100</v>
      </c>
      <c r="BQ82" s="30">
        <v>0</v>
      </c>
      <c r="BR82" s="30">
        <v>5000</v>
      </c>
      <c r="BS82" s="30">
        <v>0</v>
      </c>
      <c r="BT82" s="30">
        <v>5600</v>
      </c>
      <c r="BU82" s="54"/>
      <c r="BV82" s="54"/>
      <c r="BW82" s="54"/>
      <c r="BX82" s="54"/>
      <c r="BY82" s="54"/>
      <c r="BZ82" s="54"/>
      <c r="CA82" s="54"/>
      <c r="CB82" s="54"/>
      <c r="CC82" s="54"/>
      <c r="CD82" s="54"/>
      <c r="CE82" s="54"/>
      <c r="CF82" s="54"/>
      <c r="CG82" s="54"/>
      <c r="CH82" s="54"/>
      <c r="CI82" s="54"/>
      <c r="CJ82" s="54"/>
      <c r="CK82" s="54"/>
      <c r="CL82" s="54"/>
      <c r="CM82" s="54"/>
      <c r="CN82" s="54"/>
      <c r="CO82" s="54"/>
      <c r="CP82" s="54"/>
      <c r="CQ82" s="54"/>
      <c r="CR82" s="54"/>
      <c r="CS82" s="54"/>
      <c r="CT82" s="54"/>
      <c r="CU82" s="54"/>
      <c r="CV82" s="54"/>
      <c r="CW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  <c r="FI82" s="54"/>
      <c r="FJ82" s="54"/>
      <c r="FK82" s="54"/>
      <c r="FL82" s="54"/>
      <c r="FM82" s="54"/>
      <c r="FN82" s="54"/>
      <c r="FO82" s="54"/>
      <c r="FP82" s="54"/>
      <c r="FQ82" s="54"/>
      <c r="FR82" s="54"/>
      <c r="FS82" s="54"/>
      <c r="FT82" s="54"/>
      <c r="FU82" s="54"/>
      <c r="FV82" s="54"/>
      <c r="FW82" s="54"/>
      <c r="FX82" s="54"/>
      <c r="FY82" s="54"/>
      <c r="FZ82" s="54"/>
      <c r="GA82" s="54"/>
      <c r="GB82" s="54"/>
      <c r="GC82" s="54"/>
      <c r="GD82" s="54"/>
      <c r="GE82" s="54"/>
      <c r="GF82" s="54"/>
      <c r="GG82" s="54"/>
      <c r="GH82" s="54"/>
      <c r="GI82" s="54"/>
      <c r="GJ82" s="54"/>
      <c r="GK82" s="54"/>
      <c r="GL82" s="54"/>
      <c r="GM82" s="54"/>
      <c r="GN82" s="54"/>
      <c r="GO82" s="54"/>
      <c r="GP82" s="54"/>
      <c r="GQ82" s="54"/>
      <c r="GR82" s="54"/>
      <c r="GS82" s="54"/>
      <c r="GT82" s="54"/>
      <c r="GU82" s="54"/>
      <c r="GV82" s="54"/>
      <c r="GW82" s="54"/>
      <c r="GX82" s="54"/>
      <c r="GY82" s="54"/>
      <c r="GZ82" s="54"/>
      <c r="HA82" s="54"/>
      <c r="HB82" s="54"/>
      <c r="HC82" s="54"/>
      <c r="HD82" s="54"/>
      <c r="HE82" s="54"/>
      <c r="HF82" s="54"/>
      <c r="HG82" s="54"/>
      <c r="HH82" s="54"/>
      <c r="HI82" s="54"/>
      <c r="HJ82" s="54"/>
      <c r="HK82" s="54"/>
      <c r="HL82" s="54"/>
      <c r="HM82" s="54"/>
      <c r="HN82" s="54"/>
      <c r="HO82" s="54"/>
      <c r="HP82" s="54"/>
      <c r="HQ82" s="54"/>
      <c r="HR82" s="54"/>
      <c r="HS82" s="54"/>
      <c r="HT82" s="54"/>
      <c r="HU82" s="54"/>
      <c r="HV82" s="54"/>
      <c r="HW82" s="54"/>
      <c r="HX82" s="54"/>
      <c r="HY82" s="54"/>
      <c r="HZ82" s="54"/>
      <c r="IA82" s="54"/>
      <c r="IB82" s="54"/>
      <c r="IC82" s="54"/>
      <c r="ID82" s="54"/>
      <c r="IE82" s="54"/>
      <c r="IF82" s="54"/>
      <c r="IG82" s="54"/>
      <c r="IH82" s="54"/>
      <c r="II82" s="54"/>
      <c r="IJ82" s="54"/>
      <c r="IK82" s="54"/>
      <c r="IL82" s="54"/>
      <c r="IM82" s="54"/>
      <c r="IN82" s="54"/>
      <c r="IO82" s="54"/>
      <c r="IP82" s="54"/>
      <c r="IQ82" s="54"/>
    </row>
    <row r="83" spans="11:251" ht="12.75">
      <c r="K83">
        <f t="shared" si="48"/>
        <v>10</v>
      </c>
      <c r="L83" s="26" t="b">
        <f t="shared" si="45"/>
        <v>0</v>
      </c>
      <c r="Q83" s="44"/>
      <c r="R83" s="155" t="s">
        <v>111</v>
      </c>
      <c r="S83" s="155"/>
      <c r="T83" s="45"/>
      <c r="U83" s="45"/>
      <c r="V83" s="45"/>
      <c r="W83" s="30" t="str">
        <f aca="true" t="shared" si="49" ref="W83:W94">X71</f>
        <v>potenza</v>
      </c>
      <c r="X83" s="30"/>
      <c r="Y83" s="30" t="str">
        <f>Z71</f>
        <v>potenza</v>
      </c>
      <c r="Z83" s="30"/>
      <c r="AA83" s="30" t="str">
        <f>AB71</f>
        <v>potenza</v>
      </c>
      <c r="AB83" s="30"/>
      <c r="AC83" s="30" t="str">
        <f>AD71</f>
        <v>potenza</v>
      </c>
      <c r="AD83" s="30"/>
      <c r="AE83" s="39" t="str">
        <f>AF71</f>
        <v>potenza</v>
      </c>
      <c r="AF83" s="39"/>
      <c r="AG83" s="39" t="str">
        <f>AH71</f>
        <v>potenza</v>
      </c>
      <c r="AH83" s="39"/>
      <c r="AI83" s="30" t="str">
        <f>AJ71</f>
        <v>potenza</v>
      </c>
      <c r="AJ83" s="30"/>
      <c r="AK83" s="30" t="str">
        <f>AL71</f>
        <v>potenza</v>
      </c>
      <c r="AL83" s="32"/>
      <c r="AM83" s="30" t="str">
        <f>AN71</f>
        <v>potenza</v>
      </c>
      <c r="AN83" s="30"/>
      <c r="AO83" s="30" t="str">
        <f>AP71</f>
        <v>potenza</v>
      </c>
      <c r="AP83" s="30"/>
      <c r="AQ83" s="30" t="str">
        <f>AR71</f>
        <v>potenza</v>
      </c>
      <c r="AR83" s="30"/>
      <c r="AS83" s="30" t="str">
        <f>AT71</f>
        <v>potenza</v>
      </c>
      <c r="AT83" s="30"/>
      <c r="AU83" s="30" t="str">
        <f>AV71</f>
        <v>potenza</v>
      </c>
      <c r="AV83" s="30"/>
      <c r="AW83" s="30" t="str">
        <f>AX71</f>
        <v>potenza</v>
      </c>
      <c r="AX83" s="30"/>
      <c r="AY83" s="30" t="str">
        <f>AZ71</f>
        <v>potenza</v>
      </c>
      <c r="AZ83" s="30"/>
      <c r="BA83" s="30" t="str">
        <f>BB71</f>
        <v>potenza</v>
      </c>
      <c r="BB83" s="30"/>
      <c r="BC83" s="30" t="str">
        <f>BD71</f>
        <v>potenza</v>
      </c>
      <c r="BD83" s="30"/>
      <c r="BE83" s="30" t="str">
        <f>BF71</f>
        <v>potenza</v>
      </c>
      <c r="BF83" s="30"/>
      <c r="BG83" s="30" t="str">
        <f>BH71</f>
        <v>potenza</v>
      </c>
      <c r="BH83" s="30"/>
      <c r="BI83" s="30" t="str">
        <f>BJ71</f>
        <v>potenza</v>
      </c>
      <c r="BJ83" s="30"/>
      <c r="BK83" s="30" t="str">
        <f>BL71</f>
        <v>potenza</v>
      </c>
      <c r="BL83" s="30"/>
      <c r="BM83" s="30" t="str">
        <f>BN71</f>
        <v>potenza</v>
      </c>
      <c r="BN83" s="30"/>
      <c r="BO83" s="30" t="str">
        <f>BP71</f>
        <v>potenza</v>
      </c>
      <c r="BP83" s="30"/>
      <c r="BQ83" s="30" t="str">
        <f>BR71</f>
        <v>potenza</v>
      </c>
      <c r="BR83" s="30"/>
      <c r="BS83" s="30" t="str">
        <f>BT71</f>
        <v>potenza</v>
      </c>
      <c r="BT83" s="30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54"/>
      <c r="CP83" s="54"/>
      <c r="CQ83" s="54"/>
      <c r="CR83" s="54"/>
      <c r="CS83" s="54"/>
      <c r="CT83" s="54"/>
      <c r="CU83" s="54"/>
      <c r="CV83" s="54"/>
      <c r="CW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  <c r="FI83" s="54"/>
      <c r="FJ83" s="54"/>
      <c r="FK83" s="54"/>
      <c r="FL83" s="54"/>
      <c r="FM83" s="54"/>
      <c r="FN83" s="54"/>
      <c r="FO83" s="54"/>
      <c r="FP83" s="54"/>
      <c r="FQ83" s="54"/>
      <c r="FR83" s="54"/>
      <c r="FS83" s="54"/>
      <c r="FT83" s="54"/>
      <c r="FU83" s="54"/>
      <c r="FV83" s="54"/>
      <c r="FW83" s="54"/>
      <c r="FX83" s="54"/>
      <c r="FY83" s="54"/>
      <c r="FZ83" s="54"/>
      <c r="GA83" s="54"/>
      <c r="GB83" s="54"/>
      <c r="GC83" s="54"/>
      <c r="GD83" s="54"/>
      <c r="GE83" s="54"/>
      <c r="GF83" s="54"/>
      <c r="GG83" s="54"/>
      <c r="GH83" s="54"/>
      <c r="GI83" s="54"/>
      <c r="GJ83" s="54"/>
      <c r="GK83" s="54"/>
      <c r="GL83" s="54"/>
      <c r="GM83" s="54"/>
      <c r="GN83" s="54"/>
      <c r="GO83" s="54"/>
      <c r="GP83" s="54"/>
      <c r="GQ83" s="54"/>
      <c r="GR83" s="54"/>
      <c r="GS83" s="54"/>
      <c r="GT83" s="54"/>
      <c r="GU83" s="54"/>
      <c r="GV83" s="54"/>
      <c r="GW83" s="54"/>
      <c r="GX83" s="54"/>
      <c r="GY83" s="54"/>
      <c r="GZ83" s="54"/>
      <c r="HA83" s="54"/>
      <c r="HB83" s="54"/>
      <c r="HC83" s="54"/>
      <c r="HD83" s="54"/>
      <c r="HE83" s="54"/>
      <c r="HF83" s="54"/>
      <c r="HG83" s="54"/>
      <c r="HH83" s="54"/>
      <c r="HI83" s="54"/>
      <c r="HJ83" s="54"/>
      <c r="HK83" s="54"/>
      <c r="HL83" s="54"/>
      <c r="HM83" s="54"/>
      <c r="HN83" s="54"/>
      <c r="HO83" s="54"/>
      <c r="HP83" s="54"/>
      <c r="HQ83" s="54"/>
      <c r="HR83" s="54"/>
      <c r="HS83" s="54"/>
      <c r="HT83" s="54"/>
      <c r="HU83" s="54"/>
      <c r="HV83" s="54"/>
      <c r="HW83" s="54"/>
      <c r="HX83" s="54"/>
      <c r="HY83" s="54"/>
      <c r="HZ83" s="54"/>
      <c r="IA83" s="54"/>
      <c r="IB83" s="54"/>
      <c r="IC83" s="54"/>
      <c r="ID83" s="54"/>
      <c r="IE83" s="54"/>
      <c r="IF83" s="54"/>
      <c r="IG83" s="54"/>
      <c r="IH83" s="54"/>
      <c r="II83" s="54"/>
      <c r="IJ83" s="54"/>
      <c r="IK83" s="54"/>
      <c r="IL83" s="54"/>
      <c r="IM83" s="54"/>
      <c r="IN83" s="54"/>
      <c r="IO83" s="54"/>
      <c r="IP83" s="54"/>
      <c r="IQ83" s="54"/>
    </row>
    <row r="84" spans="11:251" ht="13.5" thickBot="1">
      <c r="K84">
        <f t="shared" si="48"/>
        <v>11</v>
      </c>
      <c r="L84" s="26" t="b">
        <f t="shared" si="45"/>
        <v>0</v>
      </c>
      <c r="Q84" s="44"/>
      <c r="R84" s="68" t="s">
        <v>112</v>
      </c>
      <c r="S84" s="68" t="s">
        <v>113</v>
      </c>
      <c r="T84" s="45"/>
      <c r="U84" s="45"/>
      <c r="V84" s="45"/>
      <c r="W84" s="30">
        <f t="shared" si="49"/>
        <v>41.4</v>
      </c>
      <c r="X84" s="30"/>
      <c r="Y84" s="30">
        <f aca="true" t="shared" si="50" ref="Y84:Y94">Z72</f>
        <v>59</v>
      </c>
      <c r="Z84" s="30"/>
      <c r="AA84" s="30">
        <f aca="true" t="shared" si="51" ref="AA84:AA94">AB72</f>
        <v>105</v>
      </c>
      <c r="AB84" s="30"/>
      <c r="AC84" s="30">
        <f aca="true" t="shared" si="52" ref="AC84:AC94">AD72</f>
        <v>130</v>
      </c>
      <c r="AD84" s="30"/>
      <c r="AE84" s="30">
        <f aca="true" t="shared" si="53" ref="AE84:AE94">AF72</f>
        <v>190</v>
      </c>
      <c r="AF84" s="30"/>
      <c r="AG84" s="30">
        <f aca="true" t="shared" si="54" ref="AG84:AG94">AH72</f>
        <v>237</v>
      </c>
      <c r="AH84" s="30"/>
      <c r="AI84" s="30">
        <f aca="true" t="shared" si="55" ref="AI84:AI94">AJ72</f>
        <v>300</v>
      </c>
      <c r="AJ84" s="30"/>
      <c r="AK84" s="30">
        <f aca="true" t="shared" si="56" ref="AK84:AK94">AL72</f>
        <v>319</v>
      </c>
      <c r="AL84" s="32"/>
      <c r="AM84" s="30">
        <f aca="true" t="shared" si="57" ref="AM84:AM94">AN72</f>
        <v>425</v>
      </c>
      <c r="AN84" s="30"/>
      <c r="AO84" s="30">
        <f aca="true" t="shared" si="58" ref="AO84:AO94">AP72</f>
        <v>550</v>
      </c>
      <c r="AP84" s="30"/>
      <c r="AQ84" s="30">
        <f aca="true" t="shared" si="59" ref="AQ84:AQ94">AR72</f>
        <v>710</v>
      </c>
      <c r="AR84" s="30"/>
      <c r="AS84" s="30">
        <f aca="true" t="shared" si="60" ref="AS84:AS94">AT72</f>
        <v>949</v>
      </c>
      <c r="AT84" s="30"/>
      <c r="AU84" s="30">
        <f aca="true" t="shared" si="61" ref="AU84:AU94">AV72</f>
        <v>1423</v>
      </c>
      <c r="AV84" s="30"/>
      <c r="AW84" s="30">
        <f aca="true" t="shared" si="62" ref="AW84:AW94">AX72</f>
        <v>1780</v>
      </c>
      <c r="AX84" s="30"/>
      <c r="AY84" s="30">
        <f aca="true" t="shared" si="63" ref="AY84:AY94">AZ72</f>
        <v>2372</v>
      </c>
      <c r="AZ84" s="30"/>
      <c r="BA84" s="30">
        <f aca="true" t="shared" si="64" ref="BA84:BA94">BB72</f>
        <v>3000</v>
      </c>
      <c r="BB84" s="30"/>
      <c r="BC84" s="30">
        <f aca="true" t="shared" si="65" ref="BC84:BC94">BD72</f>
        <v>3900</v>
      </c>
      <c r="BD84" s="30"/>
      <c r="BE84" s="30">
        <f aca="true" t="shared" si="66" ref="BE84:BE94">BF72</f>
        <v>5000</v>
      </c>
      <c r="BF84" s="30"/>
      <c r="BG84" s="30">
        <f aca="true" t="shared" si="67" ref="BG84:BG94">BH72</f>
        <v>5800</v>
      </c>
      <c r="BH84" s="30"/>
      <c r="BI84" s="30">
        <f aca="true" t="shared" si="68" ref="BI84:BI94">BJ72</f>
        <v>7500</v>
      </c>
      <c r="BJ84" s="30"/>
      <c r="BK84" s="30">
        <f aca="true" t="shared" si="69" ref="BK84:BK94">BL72</f>
        <v>8500</v>
      </c>
      <c r="BL84" s="30"/>
      <c r="BM84" s="30">
        <f aca="true" t="shared" si="70" ref="BM84:BM94">BN72</f>
        <v>10500</v>
      </c>
      <c r="BN84" s="30"/>
      <c r="BO84" s="30">
        <f aca="true" t="shared" si="71" ref="BO84:BO94">BP72</f>
        <v>13100</v>
      </c>
      <c r="BP84" s="30"/>
      <c r="BQ84" s="30">
        <f aca="true" t="shared" si="72" ref="BQ84:BQ94">BR72</f>
        <v>15000</v>
      </c>
      <c r="BR84" s="30"/>
      <c r="BS84" s="30">
        <f aca="true" t="shared" si="73" ref="BS84:BS94">BT72</f>
        <v>17000</v>
      </c>
      <c r="BT84" s="30"/>
      <c r="BU84" s="54"/>
      <c r="BV84" s="54"/>
      <c r="BW84" s="54"/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4"/>
      <c r="CR84" s="54"/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4"/>
      <c r="FY84" s="54"/>
      <c r="FZ84" s="54"/>
      <c r="GA84" s="54"/>
      <c r="GB84" s="54"/>
      <c r="GC84" s="54"/>
      <c r="GD84" s="54"/>
      <c r="GE84" s="54"/>
      <c r="GF84" s="54"/>
      <c r="GG84" s="54"/>
      <c r="GH84" s="54"/>
      <c r="GI84" s="54"/>
      <c r="GJ84" s="54"/>
      <c r="GK84" s="54"/>
      <c r="GL84" s="54"/>
      <c r="GM84" s="54"/>
      <c r="GN84" s="54"/>
      <c r="GO84" s="54"/>
      <c r="GP84" s="54"/>
      <c r="GQ84" s="54"/>
      <c r="GR84" s="54"/>
      <c r="GS84" s="54"/>
      <c r="GT84" s="54"/>
      <c r="GU84" s="54"/>
      <c r="GV84" s="54"/>
      <c r="GW84" s="54"/>
      <c r="GX84" s="54"/>
      <c r="GY84" s="54"/>
      <c r="GZ84" s="54"/>
      <c r="HA84" s="54"/>
      <c r="HB84" s="54"/>
      <c r="HC84" s="54"/>
      <c r="HD84" s="54"/>
      <c r="HE84" s="54"/>
      <c r="HF84" s="54"/>
      <c r="HG84" s="54"/>
      <c r="HH84" s="54"/>
      <c r="HI84" s="54"/>
      <c r="HJ84" s="54"/>
      <c r="HK84" s="54"/>
      <c r="HL84" s="54"/>
      <c r="HM84" s="54"/>
      <c r="HN84" s="54"/>
      <c r="HO84" s="54"/>
      <c r="HP84" s="54"/>
      <c r="HQ84" s="54"/>
      <c r="HR84" s="54"/>
      <c r="HS84" s="54"/>
      <c r="HT84" s="54"/>
      <c r="HU84" s="54"/>
      <c r="HV84" s="54"/>
      <c r="HW84" s="54"/>
      <c r="HX84" s="54"/>
      <c r="HY84" s="54"/>
      <c r="HZ84" s="54"/>
      <c r="IA84" s="54"/>
      <c r="IB84" s="54"/>
      <c r="IC84" s="54"/>
      <c r="ID84" s="54"/>
      <c r="IE84" s="54"/>
      <c r="IF84" s="54"/>
      <c r="IG84" s="54"/>
      <c r="IH84" s="54"/>
      <c r="II84" s="54"/>
      <c r="IJ84" s="54"/>
      <c r="IK84" s="54"/>
      <c r="IL84" s="54"/>
      <c r="IM84" s="54"/>
      <c r="IN84" s="54"/>
      <c r="IO84" s="54"/>
      <c r="IP84" s="54"/>
      <c r="IQ84" s="54"/>
    </row>
    <row r="85" spans="11:251" ht="12.75">
      <c r="K85">
        <f t="shared" si="48"/>
        <v>12</v>
      </c>
      <c r="L85" s="26" t="b">
        <f t="shared" si="45"/>
        <v>0</v>
      </c>
      <c r="N85" s="69"/>
      <c r="O85" s="70"/>
      <c r="P85" s="44"/>
      <c r="Q85" s="44">
        <v>1</v>
      </c>
      <c r="R85" s="68">
        <v>89</v>
      </c>
      <c r="S85" s="68" t="s">
        <v>126</v>
      </c>
      <c r="T85" s="30">
        <v>1</v>
      </c>
      <c r="U85" s="30" t="str">
        <f>W70</f>
        <v>Max 1</v>
      </c>
      <c r="V85" s="30"/>
      <c r="W85" s="31">
        <f t="shared" si="49"/>
        <v>41.4</v>
      </c>
      <c r="X85" s="30"/>
      <c r="Y85" s="30">
        <f t="shared" si="50"/>
        <v>59</v>
      </c>
      <c r="Z85" s="30"/>
      <c r="AA85" s="30">
        <f t="shared" si="51"/>
        <v>105</v>
      </c>
      <c r="AB85" s="30"/>
      <c r="AC85" s="30">
        <f t="shared" si="52"/>
        <v>130</v>
      </c>
      <c r="AD85" s="30"/>
      <c r="AE85" s="30">
        <f t="shared" si="53"/>
        <v>190</v>
      </c>
      <c r="AF85" s="30"/>
      <c r="AG85" s="30">
        <f t="shared" si="54"/>
        <v>237</v>
      </c>
      <c r="AH85" s="30"/>
      <c r="AI85" s="30">
        <f t="shared" si="55"/>
        <v>300</v>
      </c>
      <c r="AJ85" s="30"/>
      <c r="AK85" s="30">
        <f t="shared" si="56"/>
        <v>314</v>
      </c>
      <c r="AL85" s="32"/>
      <c r="AM85" s="30">
        <f t="shared" si="57"/>
        <v>425</v>
      </c>
      <c r="AN85" s="30"/>
      <c r="AO85" s="30">
        <f t="shared" si="58"/>
        <v>550</v>
      </c>
      <c r="AP85" s="30"/>
      <c r="AQ85" s="30">
        <f t="shared" si="59"/>
        <v>710</v>
      </c>
      <c r="AR85" s="30"/>
      <c r="AS85" s="30">
        <f t="shared" si="60"/>
        <v>949</v>
      </c>
      <c r="AT85" s="30"/>
      <c r="AU85" s="30">
        <f t="shared" si="61"/>
        <v>830</v>
      </c>
      <c r="AV85" s="30"/>
      <c r="AW85" s="30">
        <f t="shared" si="62"/>
        <v>1780</v>
      </c>
      <c r="AX85" s="30"/>
      <c r="AY85" s="30">
        <f t="shared" si="63"/>
        <v>2372</v>
      </c>
      <c r="AZ85" s="30"/>
      <c r="BA85" s="30">
        <f t="shared" si="64"/>
        <v>2500</v>
      </c>
      <c r="BB85" s="30"/>
      <c r="BC85" s="30">
        <f t="shared" si="65"/>
        <v>3800</v>
      </c>
      <c r="BD85" s="30"/>
      <c r="BE85" s="30">
        <f t="shared" si="66"/>
        <v>3500</v>
      </c>
      <c r="BF85" s="30"/>
      <c r="BG85" s="30">
        <f t="shared" si="67"/>
        <v>4400</v>
      </c>
      <c r="BH85" s="30"/>
      <c r="BI85" s="30">
        <f t="shared" si="68"/>
        <v>7500</v>
      </c>
      <c r="BJ85" s="30"/>
      <c r="BK85" s="30">
        <f t="shared" si="69"/>
        <v>8250</v>
      </c>
      <c r="BL85" s="30"/>
      <c r="BM85" s="30">
        <f t="shared" si="70"/>
        <v>9000</v>
      </c>
      <c r="BN85" s="30"/>
      <c r="BO85" s="30">
        <f t="shared" si="71"/>
        <v>10500</v>
      </c>
      <c r="BP85" s="30"/>
      <c r="BQ85" s="30">
        <f t="shared" si="72"/>
        <v>15000</v>
      </c>
      <c r="BR85" s="30"/>
      <c r="BS85" s="30">
        <f t="shared" si="73"/>
        <v>17000</v>
      </c>
      <c r="BT85" s="30"/>
      <c r="BU85" s="54"/>
      <c r="BV85" s="54"/>
      <c r="BW85" s="54"/>
      <c r="BX85" s="54"/>
      <c r="BY85" s="54"/>
      <c r="BZ85" s="54"/>
      <c r="CA85" s="54"/>
      <c r="CB85" s="54"/>
      <c r="CC85" s="54"/>
      <c r="CD85" s="54"/>
      <c r="CE85" s="54"/>
      <c r="CF85" s="54"/>
      <c r="CG85" s="54"/>
      <c r="CH85" s="54"/>
      <c r="CI85" s="54"/>
      <c r="CJ85" s="54"/>
      <c r="CK85" s="54"/>
      <c r="CL85" s="54"/>
      <c r="CM85" s="54"/>
      <c r="CN85" s="54"/>
      <c r="CO85" s="54"/>
      <c r="CP85" s="54"/>
      <c r="CQ85" s="54"/>
      <c r="CR85" s="54"/>
      <c r="CS85" s="54"/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  <c r="FI85" s="54"/>
      <c r="FJ85" s="54"/>
      <c r="FK85" s="54"/>
      <c r="FL85" s="54"/>
      <c r="FM85" s="54"/>
      <c r="FN85" s="54"/>
      <c r="FO85" s="54"/>
      <c r="FP85" s="54"/>
      <c r="FQ85" s="54"/>
      <c r="FR85" s="54"/>
      <c r="FS85" s="54"/>
      <c r="FT85" s="54"/>
      <c r="FU85" s="54"/>
      <c r="FV85" s="54"/>
      <c r="FW85" s="54"/>
      <c r="FX85" s="54"/>
      <c r="FY85" s="54"/>
      <c r="FZ85" s="54"/>
      <c r="GA85" s="54"/>
      <c r="GB85" s="54"/>
      <c r="GC85" s="54"/>
      <c r="GD85" s="54"/>
      <c r="GE85" s="54"/>
      <c r="GF85" s="54"/>
      <c r="GG85" s="54"/>
      <c r="GH85" s="54"/>
      <c r="GI85" s="54"/>
      <c r="GJ85" s="54"/>
      <c r="GK85" s="54"/>
      <c r="GL85" s="54"/>
      <c r="GM85" s="54"/>
      <c r="GN85" s="54"/>
      <c r="GO85" s="54"/>
      <c r="GP85" s="54"/>
      <c r="GQ85" s="54"/>
      <c r="GR85" s="54"/>
      <c r="GS85" s="54"/>
      <c r="GT85" s="54"/>
      <c r="GU85" s="54"/>
      <c r="GV85" s="54"/>
      <c r="GW85" s="54"/>
      <c r="GX85" s="54"/>
      <c r="GY85" s="54"/>
      <c r="GZ85" s="54"/>
      <c r="HA85" s="54"/>
      <c r="HB85" s="54"/>
      <c r="HC85" s="54"/>
      <c r="HD85" s="54"/>
      <c r="HE85" s="54"/>
      <c r="HF85" s="54"/>
      <c r="HG85" s="54"/>
      <c r="HH85" s="54"/>
      <c r="HI85" s="54"/>
      <c r="HJ85" s="54"/>
      <c r="HK85" s="54"/>
      <c r="HL85" s="54"/>
      <c r="HM85" s="54"/>
      <c r="HN85" s="54"/>
      <c r="HO85" s="54"/>
      <c r="HP85" s="54"/>
      <c r="HQ85" s="54"/>
      <c r="HR85" s="54"/>
      <c r="HS85" s="54"/>
      <c r="HT85" s="54"/>
      <c r="HU85" s="54"/>
      <c r="HV85" s="54"/>
      <c r="HW85" s="54"/>
      <c r="HX85" s="54"/>
      <c r="HY85" s="54"/>
      <c r="HZ85" s="54"/>
      <c r="IA85" s="54"/>
      <c r="IB85" s="54"/>
      <c r="IC85" s="54"/>
      <c r="ID85" s="54"/>
      <c r="IE85" s="54"/>
      <c r="IF85" s="54"/>
      <c r="IG85" s="54"/>
      <c r="IH85" s="54"/>
      <c r="II85" s="54"/>
      <c r="IJ85" s="54"/>
      <c r="IK85" s="54"/>
      <c r="IL85" s="54"/>
      <c r="IM85" s="54"/>
      <c r="IN85" s="54"/>
      <c r="IO85" s="54"/>
      <c r="IP85" s="54"/>
      <c r="IQ85" s="54"/>
    </row>
    <row r="86" spans="11:251" ht="13.5" thickBot="1">
      <c r="K86">
        <f t="shared" si="48"/>
        <v>13</v>
      </c>
      <c r="L86" s="26" t="b">
        <f t="shared" si="45"/>
        <v>0</v>
      </c>
      <c r="N86" s="156" t="s">
        <v>111</v>
      </c>
      <c r="O86" s="157"/>
      <c r="P86" s="44"/>
      <c r="Q86" s="44">
        <v>2</v>
      </c>
      <c r="R86" s="68">
        <v>89</v>
      </c>
      <c r="S86" s="68" t="s">
        <v>127</v>
      </c>
      <c r="T86" s="30">
        <f>T85+1</f>
        <v>2</v>
      </c>
      <c r="U86" s="30" t="str">
        <f>Y70</f>
        <v>Max 4</v>
      </c>
      <c r="V86" s="30"/>
      <c r="W86" s="31">
        <f t="shared" si="49"/>
        <v>30</v>
      </c>
      <c r="X86" s="30"/>
      <c r="Y86" s="30">
        <f t="shared" si="50"/>
        <v>45</v>
      </c>
      <c r="Z86" s="30"/>
      <c r="AA86" s="30">
        <f t="shared" si="51"/>
        <v>60</v>
      </c>
      <c r="AB86" s="30"/>
      <c r="AC86" s="30">
        <f t="shared" si="52"/>
        <v>84</v>
      </c>
      <c r="AD86" s="30"/>
      <c r="AE86" s="30">
        <f t="shared" si="53"/>
        <v>170</v>
      </c>
      <c r="AF86" s="30"/>
      <c r="AG86" s="30">
        <f t="shared" si="54"/>
        <v>160</v>
      </c>
      <c r="AH86" s="30"/>
      <c r="AI86" s="30">
        <f t="shared" si="55"/>
        <v>247</v>
      </c>
      <c r="AJ86" s="30"/>
      <c r="AK86" s="30">
        <f t="shared" si="56"/>
        <v>226.7</v>
      </c>
      <c r="AL86" s="32"/>
      <c r="AM86" s="30">
        <f t="shared" si="57"/>
        <v>313</v>
      </c>
      <c r="AN86" s="30"/>
      <c r="AO86" s="30">
        <f t="shared" si="58"/>
        <v>383</v>
      </c>
      <c r="AP86" s="30"/>
      <c r="AQ86" s="30">
        <f t="shared" si="59"/>
        <v>415</v>
      </c>
      <c r="AR86" s="30"/>
      <c r="AS86" s="30">
        <f t="shared" si="60"/>
        <v>474</v>
      </c>
      <c r="AT86" s="30"/>
      <c r="AU86" s="30">
        <f t="shared" si="61"/>
        <v>830</v>
      </c>
      <c r="AV86" s="30"/>
      <c r="AW86" s="30">
        <f t="shared" si="62"/>
        <v>1100</v>
      </c>
      <c r="AX86" s="30"/>
      <c r="AY86" s="30">
        <f t="shared" si="63"/>
        <v>1490</v>
      </c>
      <c r="AZ86" s="30"/>
      <c r="BA86" s="30">
        <f t="shared" si="64"/>
        <v>1600</v>
      </c>
      <c r="BB86" s="30"/>
      <c r="BC86" s="30">
        <f t="shared" si="65"/>
        <v>2900</v>
      </c>
      <c r="BD86" s="30"/>
      <c r="BE86" s="30">
        <f t="shared" si="66"/>
        <v>1650</v>
      </c>
      <c r="BF86" s="30"/>
      <c r="BG86" s="30">
        <f t="shared" si="67"/>
        <v>2150</v>
      </c>
      <c r="BH86" s="30"/>
      <c r="BI86" s="30">
        <f t="shared" si="68"/>
        <v>5200</v>
      </c>
      <c r="BJ86" s="30"/>
      <c r="BK86" s="30">
        <f t="shared" si="69"/>
        <v>7900</v>
      </c>
      <c r="BL86" s="30"/>
      <c r="BM86" s="30">
        <f t="shared" si="70"/>
        <v>7300</v>
      </c>
      <c r="BN86" s="30"/>
      <c r="BO86" s="30">
        <f t="shared" si="71"/>
        <v>9000</v>
      </c>
      <c r="BP86" s="30"/>
      <c r="BQ86" s="30">
        <f t="shared" si="72"/>
        <v>12200</v>
      </c>
      <c r="BR86" s="30"/>
      <c r="BS86" s="30">
        <f t="shared" si="73"/>
        <v>13900</v>
      </c>
      <c r="BT86" s="30"/>
      <c r="BU86" s="54"/>
      <c r="BV86" s="54"/>
      <c r="BW86" s="54"/>
      <c r="BX86" s="54"/>
      <c r="BY86" s="54"/>
      <c r="BZ86" s="54"/>
      <c r="CA86" s="54"/>
      <c r="CB86" s="54"/>
      <c r="CC86" s="54"/>
      <c r="CD86" s="54"/>
      <c r="CE86" s="54"/>
      <c r="CF86" s="54"/>
      <c r="CG86" s="54"/>
      <c r="CH86" s="54"/>
      <c r="CI86" s="54"/>
      <c r="CJ86" s="54"/>
      <c r="CK86" s="54"/>
      <c r="CL86" s="54"/>
      <c r="CM86" s="54"/>
      <c r="CN86" s="54"/>
      <c r="CO86" s="54"/>
      <c r="CP86" s="54"/>
      <c r="CQ86" s="54"/>
      <c r="CR86" s="54"/>
      <c r="CS86" s="54"/>
      <c r="CT86" s="54"/>
      <c r="CU86" s="54"/>
      <c r="CV86" s="54"/>
      <c r="CW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  <c r="FI86" s="54"/>
      <c r="FJ86" s="54"/>
      <c r="FK86" s="54"/>
      <c r="FL86" s="54"/>
      <c r="FM86" s="54"/>
      <c r="FN86" s="54"/>
      <c r="FO86" s="54"/>
      <c r="FP86" s="54"/>
      <c r="FQ86" s="54"/>
      <c r="FR86" s="54"/>
      <c r="FS86" s="54"/>
      <c r="FT86" s="54"/>
      <c r="FU86" s="54"/>
      <c r="FV86" s="54"/>
      <c r="FW86" s="54"/>
      <c r="FX86" s="54"/>
      <c r="FY86" s="54"/>
      <c r="FZ86" s="54"/>
      <c r="GA86" s="54"/>
      <c r="GB86" s="54"/>
      <c r="GC86" s="54"/>
      <c r="GD86" s="54"/>
      <c r="GE86" s="54"/>
      <c r="GF86" s="54"/>
      <c r="GG86" s="54"/>
      <c r="GH86" s="54"/>
      <c r="GI86" s="54"/>
      <c r="GJ86" s="54"/>
      <c r="GK86" s="54"/>
      <c r="GL86" s="54"/>
      <c r="GM86" s="54"/>
      <c r="GN86" s="54"/>
      <c r="GO86" s="54"/>
      <c r="GP86" s="54"/>
      <c r="GQ86" s="54"/>
      <c r="GR86" s="54"/>
      <c r="GS86" s="54"/>
      <c r="GT86" s="54"/>
      <c r="GU86" s="54"/>
      <c r="GV86" s="54"/>
      <c r="GW86" s="54"/>
      <c r="GX86" s="54"/>
      <c r="GY86" s="54"/>
      <c r="GZ86" s="54"/>
      <c r="HA86" s="54"/>
      <c r="HB86" s="54"/>
      <c r="HC86" s="54"/>
      <c r="HD86" s="54"/>
      <c r="HE86" s="54"/>
      <c r="HF86" s="54"/>
      <c r="HG86" s="54"/>
      <c r="HH86" s="54"/>
      <c r="HI86" s="54"/>
      <c r="HJ86" s="54"/>
      <c r="HK86" s="54"/>
      <c r="HL86" s="54"/>
      <c r="HM86" s="54"/>
      <c r="HN86" s="54"/>
      <c r="HO86" s="54"/>
      <c r="HP86" s="54"/>
      <c r="HQ86" s="54"/>
      <c r="HR86" s="54"/>
      <c r="HS86" s="54"/>
      <c r="HT86" s="54"/>
      <c r="HU86" s="54"/>
      <c r="HV86" s="54"/>
      <c r="HW86" s="54"/>
      <c r="HX86" s="54"/>
      <c r="HY86" s="54"/>
      <c r="HZ86" s="54"/>
      <c r="IA86" s="54"/>
      <c r="IB86" s="54"/>
      <c r="IC86" s="54"/>
      <c r="ID86" s="54"/>
      <c r="IE86" s="54"/>
      <c r="IF86" s="54"/>
      <c r="IG86" s="54"/>
      <c r="IH86" s="54"/>
      <c r="II86" s="54"/>
      <c r="IJ86" s="54"/>
      <c r="IK86" s="54"/>
      <c r="IL86" s="54"/>
      <c r="IM86" s="54"/>
      <c r="IN86" s="54"/>
      <c r="IO86" s="54"/>
      <c r="IP86" s="54"/>
      <c r="IQ86" s="54"/>
    </row>
    <row r="87" spans="11:251" ht="13.5" thickBot="1">
      <c r="K87">
        <f t="shared" si="48"/>
        <v>14</v>
      </c>
      <c r="L87" s="26" t="b">
        <f t="shared" si="45"/>
        <v>0</v>
      </c>
      <c r="N87" s="69" t="s">
        <v>112</v>
      </c>
      <c r="O87" s="71" t="s">
        <v>113</v>
      </c>
      <c r="P87" s="44"/>
      <c r="Q87" s="44">
        <f>Q86+1</f>
        <v>3</v>
      </c>
      <c r="R87" s="68">
        <v>89</v>
      </c>
      <c r="S87" s="68" t="s">
        <v>127</v>
      </c>
      <c r="T87" s="30">
        <f aca="true" t="shared" si="74" ref="T87:T109">T86+1</f>
        <v>3</v>
      </c>
      <c r="U87" s="30" t="str">
        <f>AA70</f>
        <v>Max 8</v>
      </c>
      <c r="V87" s="30"/>
      <c r="W87" s="31">
        <f t="shared" si="49"/>
        <v>17.6</v>
      </c>
      <c r="X87" s="30"/>
      <c r="Y87" s="30">
        <f t="shared" si="50"/>
        <v>20</v>
      </c>
      <c r="Z87" s="30"/>
      <c r="AA87" s="30">
        <f t="shared" si="51"/>
        <v>47</v>
      </c>
      <c r="AB87" s="30"/>
      <c r="AC87" s="30">
        <f t="shared" si="52"/>
        <v>60</v>
      </c>
      <c r="AD87" s="30"/>
      <c r="AE87" s="30">
        <f t="shared" si="53"/>
        <v>73.4</v>
      </c>
      <c r="AF87" s="30"/>
      <c r="AG87" s="30">
        <f t="shared" si="54"/>
        <v>86.4</v>
      </c>
      <c r="AH87" s="30"/>
      <c r="AI87" s="30">
        <f t="shared" si="55"/>
        <v>152</v>
      </c>
      <c r="AJ87" s="30"/>
      <c r="AK87" s="30">
        <f t="shared" si="56"/>
        <v>110</v>
      </c>
      <c r="AL87" s="32"/>
      <c r="AM87" s="30">
        <f t="shared" si="57"/>
        <v>250</v>
      </c>
      <c r="AN87" s="30"/>
      <c r="AO87" s="30">
        <f t="shared" si="58"/>
        <v>300</v>
      </c>
      <c r="AP87" s="30"/>
      <c r="AQ87" s="30">
        <f t="shared" si="59"/>
        <v>415</v>
      </c>
      <c r="AR87" s="30"/>
      <c r="AS87" s="30">
        <f t="shared" si="60"/>
        <v>474</v>
      </c>
      <c r="AT87" s="30"/>
      <c r="AU87" s="30">
        <f t="shared" si="61"/>
        <v>1423</v>
      </c>
      <c r="AV87" s="30"/>
      <c r="AW87" s="30">
        <f t="shared" si="62"/>
        <v>920</v>
      </c>
      <c r="AX87" s="30"/>
      <c r="AY87" s="30">
        <f t="shared" si="63"/>
        <v>1160</v>
      </c>
      <c r="AZ87" s="30"/>
      <c r="BA87" s="30">
        <f t="shared" si="64"/>
        <v>1000</v>
      </c>
      <c r="BB87" s="30"/>
      <c r="BC87" s="30">
        <f t="shared" si="65"/>
        <v>2150</v>
      </c>
      <c r="BD87" s="30"/>
      <c r="BE87" s="30">
        <f t="shared" si="66"/>
        <v>1578</v>
      </c>
      <c r="BF87" s="30"/>
      <c r="BG87" s="30">
        <f t="shared" si="67"/>
        <v>1795</v>
      </c>
      <c r="BH87" s="30"/>
      <c r="BI87" s="30">
        <f t="shared" si="68"/>
        <v>2800</v>
      </c>
      <c r="BJ87" s="30"/>
      <c r="BK87" s="30">
        <f t="shared" si="69"/>
        <v>6500</v>
      </c>
      <c r="BL87" s="30"/>
      <c r="BM87" s="30">
        <f t="shared" si="70"/>
        <v>4900</v>
      </c>
      <c r="BN87" s="30"/>
      <c r="BO87" s="30">
        <f t="shared" si="71"/>
        <v>5300</v>
      </c>
      <c r="BP87" s="30"/>
      <c r="BQ87" s="30">
        <f t="shared" si="72"/>
        <v>11000</v>
      </c>
      <c r="BR87" s="30"/>
      <c r="BS87" s="30">
        <f t="shared" si="73"/>
        <v>12900</v>
      </c>
      <c r="BT87" s="30"/>
      <c r="BU87" s="54"/>
      <c r="BV87" s="54"/>
      <c r="BW87" s="54"/>
      <c r="BX87" s="54"/>
      <c r="BY87" s="54"/>
      <c r="BZ87" s="54"/>
      <c r="CA87" s="54"/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4"/>
      <c r="CR87" s="54"/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4"/>
      <c r="FY87" s="54"/>
      <c r="FZ87" s="54"/>
      <c r="GA87" s="54"/>
      <c r="GB87" s="54"/>
      <c r="GC87" s="54"/>
      <c r="GD87" s="54"/>
      <c r="GE87" s="54"/>
      <c r="GF87" s="54"/>
      <c r="GG87" s="54"/>
      <c r="GH87" s="54"/>
      <c r="GI87" s="54"/>
      <c r="GJ87" s="54"/>
      <c r="GK87" s="54"/>
      <c r="GL87" s="54"/>
      <c r="GM87" s="54"/>
      <c r="GN87" s="54"/>
      <c r="GO87" s="54"/>
      <c r="GP87" s="54"/>
      <c r="GQ87" s="54"/>
      <c r="GR87" s="54"/>
      <c r="GS87" s="54"/>
      <c r="GT87" s="54"/>
      <c r="GU87" s="54"/>
      <c r="GV87" s="54"/>
      <c r="GW87" s="54"/>
      <c r="GX87" s="54"/>
      <c r="GY87" s="54"/>
      <c r="GZ87" s="54"/>
      <c r="HA87" s="54"/>
      <c r="HB87" s="54"/>
      <c r="HC87" s="54"/>
      <c r="HD87" s="54"/>
      <c r="HE87" s="54"/>
      <c r="HF87" s="54"/>
      <c r="HG87" s="54"/>
      <c r="HH87" s="54"/>
      <c r="HI87" s="54"/>
      <c r="HJ87" s="54"/>
      <c r="HK87" s="54"/>
      <c r="HL87" s="54"/>
      <c r="HM87" s="54"/>
      <c r="HN87" s="54"/>
      <c r="HO87" s="54"/>
      <c r="HP87" s="54"/>
      <c r="HQ87" s="54"/>
      <c r="HR87" s="54"/>
      <c r="HS87" s="54"/>
      <c r="HT87" s="54"/>
      <c r="HU87" s="54"/>
      <c r="HV87" s="54"/>
      <c r="HW87" s="54"/>
      <c r="HX87" s="54"/>
      <c r="HY87" s="54"/>
      <c r="HZ87" s="54"/>
      <c r="IA87" s="54"/>
      <c r="IB87" s="54"/>
      <c r="IC87" s="54"/>
      <c r="ID87" s="54"/>
      <c r="IE87" s="54"/>
      <c r="IF87" s="54"/>
      <c r="IG87" s="54"/>
      <c r="IH87" s="54"/>
      <c r="II87" s="54"/>
      <c r="IJ87" s="54"/>
      <c r="IK87" s="54"/>
      <c r="IL87" s="54"/>
      <c r="IM87" s="54"/>
      <c r="IN87" s="54"/>
      <c r="IO87" s="54"/>
      <c r="IP87" s="54"/>
      <c r="IQ87" s="54"/>
    </row>
    <row r="88" spans="11:251" ht="13.5" thickBot="1">
      <c r="K88">
        <f t="shared" si="48"/>
        <v>15</v>
      </c>
      <c r="L88" s="26" t="b">
        <f t="shared" si="45"/>
        <v>0</v>
      </c>
      <c r="N88" s="72" t="e">
        <f>VLOOKUP(T70,Q85:S109,2)</f>
        <v>#N/A</v>
      </c>
      <c r="O88" s="72" t="e">
        <f>VLOOKUP(T70,Q85:S109,3)</f>
        <v>#N/A</v>
      </c>
      <c r="P88" s="44"/>
      <c r="Q88" s="44">
        <f aca="true" t="shared" si="75" ref="Q88:Q109">Q87+1</f>
        <v>4</v>
      </c>
      <c r="R88" s="68">
        <v>98</v>
      </c>
      <c r="S88" s="68" t="s">
        <v>128</v>
      </c>
      <c r="T88" s="30">
        <f t="shared" si="74"/>
        <v>4</v>
      </c>
      <c r="U88" s="30" t="str">
        <f>AC70</f>
        <v>Max 12</v>
      </c>
      <c r="V88" s="30"/>
      <c r="W88" s="31">
        <f t="shared" si="49"/>
        <v>17.6</v>
      </c>
      <c r="X88" s="30"/>
      <c r="Y88" s="30">
        <f t="shared" si="50"/>
        <v>20</v>
      </c>
      <c r="Z88" s="30"/>
      <c r="AA88" s="30">
        <f t="shared" si="51"/>
        <v>47</v>
      </c>
      <c r="AB88" s="30"/>
      <c r="AC88" s="30">
        <f t="shared" si="52"/>
        <v>60</v>
      </c>
      <c r="AD88" s="30"/>
      <c r="AE88" s="30">
        <f t="shared" si="53"/>
        <v>73.4</v>
      </c>
      <c r="AF88" s="30"/>
      <c r="AG88" s="30">
        <f t="shared" si="54"/>
        <v>86.4</v>
      </c>
      <c r="AH88" s="30"/>
      <c r="AI88" s="30">
        <f t="shared" si="55"/>
        <v>102</v>
      </c>
      <c r="AJ88" s="30"/>
      <c r="AK88" s="30">
        <f t="shared" si="56"/>
        <v>110</v>
      </c>
      <c r="AL88" s="32"/>
      <c r="AM88" s="30">
        <f t="shared" si="57"/>
        <v>166</v>
      </c>
      <c r="AN88" s="30"/>
      <c r="AO88" s="30">
        <f t="shared" si="58"/>
        <v>202</v>
      </c>
      <c r="AP88" s="30"/>
      <c r="AQ88" s="30">
        <f t="shared" si="59"/>
        <v>710</v>
      </c>
      <c r="AR88" s="30"/>
      <c r="AS88" s="30">
        <f t="shared" si="60"/>
        <v>949</v>
      </c>
      <c r="AT88" s="30"/>
      <c r="AU88" s="30">
        <f t="shared" si="61"/>
        <v>1423</v>
      </c>
      <c r="AV88" s="30"/>
      <c r="AW88" s="30">
        <f t="shared" si="62"/>
        <v>592</v>
      </c>
      <c r="AX88" s="30"/>
      <c r="AY88" s="30">
        <f t="shared" si="63"/>
        <v>710</v>
      </c>
      <c r="AZ88" s="30"/>
      <c r="BA88" s="30">
        <f t="shared" si="64"/>
        <v>1000</v>
      </c>
      <c r="BB88" s="30"/>
      <c r="BC88" s="30">
        <f t="shared" si="65"/>
        <v>1300</v>
      </c>
      <c r="BD88" s="30"/>
      <c r="BE88" s="30">
        <f t="shared" si="66"/>
        <v>1578</v>
      </c>
      <c r="BF88" s="30"/>
      <c r="BG88" s="30">
        <f t="shared" si="67"/>
        <v>1795</v>
      </c>
      <c r="BH88" s="30"/>
      <c r="BI88" s="30">
        <f t="shared" si="68"/>
        <v>2417</v>
      </c>
      <c r="BJ88" s="30"/>
      <c r="BK88" s="30">
        <f t="shared" si="69"/>
        <v>3800</v>
      </c>
      <c r="BL88" s="30"/>
      <c r="BM88" s="30">
        <f t="shared" si="70"/>
        <v>3300</v>
      </c>
      <c r="BN88" s="30"/>
      <c r="BO88" s="30">
        <f t="shared" si="71"/>
        <v>4367</v>
      </c>
      <c r="BP88" s="30"/>
      <c r="BQ88" s="30">
        <f t="shared" si="72"/>
        <v>7000</v>
      </c>
      <c r="BR88" s="30"/>
      <c r="BS88" s="30">
        <f t="shared" si="73"/>
        <v>8000</v>
      </c>
      <c r="BT88" s="30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54"/>
      <c r="CW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  <c r="FI88" s="54"/>
      <c r="FJ88" s="54"/>
      <c r="FK88" s="54"/>
      <c r="FL88" s="54"/>
      <c r="FM88" s="54"/>
      <c r="FN88" s="54"/>
      <c r="FO88" s="54"/>
      <c r="FP88" s="54"/>
      <c r="FQ88" s="54"/>
      <c r="FR88" s="54"/>
      <c r="FS88" s="54"/>
      <c r="FT88" s="54"/>
      <c r="FU88" s="54"/>
      <c r="FV88" s="54"/>
      <c r="FW88" s="54"/>
      <c r="FX88" s="54"/>
      <c r="FY88" s="54"/>
      <c r="FZ88" s="54"/>
      <c r="GA88" s="54"/>
      <c r="GB88" s="54"/>
      <c r="GC88" s="54"/>
      <c r="GD88" s="54"/>
      <c r="GE88" s="54"/>
      <c r="GF88" s="54"/>
      <c r="GG88" s="54"/>
      <c r="GH88" s="54"/>
      <c r="GI88" s="54"/>
      <c r="GJ88" s="54"/>
      <c r="GK88" s="54"/>
      <c r="GL88" s="54"/>
      <c r="GM88" s="54"/>
      <c r="GN88" s="54"/>
      <c r="GO88" s="54"/>
      <c r="GP88" s="54"/>
      <c r="GQ88" s="54"/>
      <c r="GR88" s="54"/>
      <c r="GS88" s="54"/>
      <c r="GT88" s="54"/>
      <c r="GU88" s="54"/>
      <c r="GV88" s="54"/>
      <c r="GW88" s="54"/>
      <c r="GX88" s="54"/>
      <c r="GY88" s="54"/>
      <c r="GZ88" s="54"/>
      <c r="HA88" s="54"/>
      <c r="HB88" s="54"/>
      <c r="HC88" s="54"/>
      <c r="HD88" s="54"/>
      <c r="HE88" s="54"/>
      <c r="HF88" s="54"/>
      <c r="HG88" s="54"/>
      <c r="HH88" s="54"/>
      <c r="HI88" s="54"/>
      <c r="HJ88" s="54"/>
      <c r="HK88" s="54"/>
      <c r="HL88" s="54"/>
      <c r="HM88" s="54"/>
      <c r="HN88" s="54"/>
      <c r="HO88" s="54"/>
      <c r="HP88" s="54"/>
      <c r="HQ88" s="54"/>
      <c r="HR88" s="54"/>
      <c r="HS88" s="54"/>
      <c r="HT88" s="54"/>
      <c r="HU88" s="54"/>
      <c r="HV88" s="54"/>
      <c r="HW88" s="54"/>
      <c r="HX88" s="54"/>
      <c r="HY88" s="54"/>
      <c r="HZ88" s="54"/>
      <c r="IA88" s="54"/>
      <c r="IB88" s="54"/>
      <c r="IC88" s="54"/>
      <c r="ID88" s="54"/>
      <c r="IE88" s="54"/>
      <c r="IF88" s="54"/>
      <c r="IG88" s="54"/>
      <c r="IH88" s="54"/>
      <c r="II88" s="54"/>
      <c r="IJ88" s="54"/>
      <c r="IK88" s="54"/>
      <c r="IL88" s="54"/>
      <c r="IM88" s="54"/>
      <c r="IN88" s="54"/>
      <c r="IO88" s="54"/>
      <c r="IP88" s="54"/>
      <c r="IQ88" s="54"/>
    </row>
    <row r="89" spans="11:251" ht="12.75">
      <c r="K89">
        <f t="shared" si="48"/>
        <v>16</v>
      </c>
      <c r="L89" s="26" t="b">
        <f t="shared" si="45"/>
        <v>0</v>
      </c>
      <c r="N89" s="44"/>
      <c r="O89" s="44"/>
      <c r="P89" s="44"/>
      <c r="Q89" s="44">
        <f t="shared" si="75"/>
        <v>5</v>
      </c>
      <c r="R89" s="68">
        <v>107</v>
      </c>
      <c r="S89" s="68" t="s">
        <v>129</v>
      </c>
      <c r="T89" s="30">
        <f t="shared" si="74"/>
        <v>5</v>
      </c>
      <c r="U89" s="30" t="str">
        <f>AE70</f>
        <v>Max 15-P15AB</v>
      </c>
      <c r="V89" s="30"/>
      <c r="W89" s="31">
        <f t="shared" si="49"/>
        <v>41.4</v>
      </c>
      <c r="X89" s="30"/>
      <c r="Y89" s="30">
        <f t="shared" si="50"/>
        <v>59</v>
      </c>
      <c r="Z89" s="30"/>
      <c r="AA89" s="30">
        <f t="shared" si="51"/>
        <v>105</v>
      </c>
      <c r="AB89" s="30"/>
      <c r="AC89" s="30">
        <f t="shared" si="52"/>
        <v>130</v>
      </c>
      <c r="AD89" s="30"/>
      <c r="AE89" s="30">
        <f t="shared" si="53"/>
        <v>190</v>
      </c>
      <c r="AF89" s="30"/>
      <c r="AG89" s="30">
        <f t="shared" si="54"/>
        <v>237</v>
      </c>
      <c r="AH89" s="30"/>
      <c r="AI89" s="30">
        <f t="shared" si="55"/>
        <v>102</v>
      </c>
      <c r="AJ89" s="30"/>
      <c r="AK89" s="30">
        <f t="shared" si="56"/>
        <v>319</v>
      </c>
      <c r="AL89" s="32"/>
      <c r="AM89" s="30">
        <f t="shared" si="57"/>
        <v>166</v>
      </c>
      <c r="AN89" s="30"/>
      <c r="AO89" s="30">
        <f t="shared" si="58"/>
        <v>202</v>
      </c>
      <c r="AP89" s="30"/>
      <c r="AQ89" s="30">
        <f t="shared" si="59"/>
        <v>710</v>
      </c>
      <c r="AR89" s="30"/>
      <c r="AS89" s="30">
        <f t="shared" si="60"/>
        <v>949</v>
      </c>
      <c r="AT89" s="30"/>
      <c r="AU89" s="30">
        <f t="shared" si="61"/>
        <v>1423</v>
      </c>
      <c r="AV89" s="30"/>
      <c r="AW89" s="30">
        <f t="shared" si="62"/>
        <v>592</v>
      </c>
      <c r="AX89" s="30"/>
      <c r="AY89" s="30">
        <f t="shared" si="63"/>
        <v>710</v>
      </c>
      <c r="AZ89" s="30"/>
      <c r="BA89" s="30">
        <f t="shared" si="64"/>
        <v>3000</v>
      </c>
      <c r="BB89" s="30"/>
      <c r="BC89" s="30">
        <f t="shared" si="65"/>
        <v>1300</v>
      </c>
      <c r="BD89" s="30"/>
      <c r="BE89" s="30">
        <f t="shared" si="66"/>
        <v>5000</v>
      </c>
      <c r="BF89" s="30"/>
      <c r="BG89" s="30">
        <f t="shared" si="67"/>
        <v>5800</v>
      </c>
      <c r="BH89" s="30"/>
      <c r="BI89" s="30">
        <f t="shared" si="68"/>
        <v>2417</v>
      </c>
      <c r="BJ89" s="30"/>
      <c r="BK89" s="30">
        <f t="shared" si="69"/>
        <v>2750</v>
      </c>
      <c r="BL89" s="30"/>
      <c r="BM89" s="30">
        <f t="shared" si="70"/>
        <v>3300</v>
      </c>
      <c r="BN89" s="30"/>
      <c r="BO89" s="30">
        <f t="shared" si="71"/>
        <v>4367</v>
      </c>
      <c r="BP89" s="30"/>
      <c r="BQ89" s="30">
        <f t="shared" si="72"/>
        <v>5000</v>
      </c>
      <c r="BR89" s="30"/>
      <c r="BS89" s="30">
        <f t="shared" si="73"/>
        <v>5600</v>
      </c>
      <c r="BT89" s="30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  <c r="FI89" s="54"/>
      <c r="FJ89" s="54"/>
      <c r="FK89" s="54"/>
      <c r="FL89" s="54"/>
      <c r="FM89" s="54"/>
      <c r="FN89" s="54"/>
      <c r="FO89" s="54"/>
      <c r="FP89" s="54"/>
      <c r="FQ89" s="54"/>
      <c r="FR89" s="54"/>
      <c r="FS89" s="54"/>
      <c r="FT89" s="54"/>
      <c r="FU89" s="54"/>
      <c r="FV89" s="54"/>
      <c r="FW89" s="54"/>
      <c r="FX89" s="54"/>
      <c r="FY89" s="54"/>
      <c r="FZ89" s="54"/>
      <c r="GA89" s="54"/>
      <c r="GB89" s="54"/>
      <c r="GC89" s="54"/>
      <c r="GD89" s="54"/>
      <c r="GE89" s="54"/>
      <c r="GF89" s="54"/>
      <c r="GG89" s="54"/>
      <c r="GH89" s="54"/>
      <c r="GI89" s="54"/>
      <c r="GJ89" s="54"/>
      <c r="GK89" s="54"/>
      <c r="GL89" s="54"/>
      <c r="GM89" s="54"/>
      <c r="GN89" s="54"/>
      <c r="GO89" s="54"/>
      <c r="GP89" s="54"/>
      <c r="GQ89" s="54"/>
      <c r="GR89" s="54"/>
      <c r="GS89" s="54"/>
      <c r="GT89" s="54"/>
      <c r="GU89" s="54"/>
      <c r="GV89" s="54"/>
      <c r="GW89" s="54"/>
      <c r="GX89" s="54"/>
      <c r="GY89" s="54"/>
      <c r="GZ89" s="54"/>
      <c r="HA89" s="54"/>
      <c r="HB89" s="54"/>
      <c r="HC89" s="54"/>
      <c r="HD89" s="54"/>
      <c r="HE89" s="54"/>
      <c r="HF89" s="54"/>
      <c r="HG89" s="54"/>
      <c r="HH89" s="54"/>
      <c r="HI89" s="54"/>
      <c r="HJ89" s="54"/>
      <c r="HK89" s="54"/>
      <c r="HL89" s="54"/>
      <c r="HM89" s="54"/>
      <c r="HN89" s="54"/>
      <c r="HO89" s="54"/>
      <c r="HP89" s="54"/>
      <c r="HQ89" s="54"/>
      <c r="HR89" s="54"/>
      <c r="HS89" s="54"/>
      <c r="HT89" s="54"/>
      <c r="HU89" s="54"/>
      <c r="HV89" s="54"/>
      <c r="HW89" s="54"/>
      <c r="HX89" s="54"/>
      <c r="HY89" s="54"/>
      <c r="HZ89" s="54"/>
      <c r="IA89" s="54"/>
      <c r="IB89" s="54"/>
      <c r="IC89" s="54"/>
      <c r="ID89" s="54"/>
      <c r="IE89" s="54"/>
      <c r="IF89" s="54"/>
      <c r="IG89" s="54"/>
      <c r="IH89" s="54"/>
      <c r="II89" s="54"/>
      <c r="IJ89" s="54"/>
      <c r="IK89" s="54"/>
      <c r="IL89" s="54"/>
      <c r="IM89" s="54"/>
      <c r="IN89" s="54"/>
      <c r="IO89" s="54"/>
      <c r="IP89" s="54"/>
      <c r="IQ89" s="54"/>
    </row>
    <row r="90" spans="11:251" ht="12.75">
      <c r="K90">
        <f t="shared" si="48"/>
        <v>17</v>
      </c>
      <c r="L90" s="26" t="b">
        <f t="shared" si="45"/>
        <v>0</v>
      </c>
      <c r="N90" s="44"/>
      <c r="O90" s="44"/>
      <c r="P90" s="44"/>
      <c r="Q90" s="44">
        <f t="shared" si="75"/>
        <v>6</v>
      </c>
      <c r="R90" s="68">
        <v>125</v>
      </c>
      <c r="S90" s="68" t="s">
        <v>129</v>
      </c>
      <c r="T90" s="30">
        <f t="shared" si="74"/>
        <v>6</v>
      </c>
      <c r="U90" s="30" t="str">
        <f>AG70</f>
        <v>Max 20-P25AB</v>
      </c>
      <c r="V90" s="30"/>
      <c r="W90" s="31">
        <f t="shared" si="49"/>
        <v>41.4</v>
      </c>
      <c r="X90" s="30"/>
      <c r="Y90" s="30">
        <f t="shared" si="50"/>
        <v>59</v>
      </c>
      <c r="Z90" s="30"/>
      <c r="AA90" s="30">
        <f t="shared" si="51"/>
        <v>105</v>
      </c>
      <c r="AB90" s="30"/>
      <c r="AC90" s="30">
        <f t="shared" si="52"/>
        <v>130</v>
      </c>
      <c r="AD90" s="30"/>
      <c r="AE90" s="30">
        <f t="shared" si="53"/>
        <v>190</v>
      </c>
      <c r="AF90" s="30"/>
      <c r="AG90" s="30">
        <f t="shared" si="54"/>
        <v>237</v>
      </c>
      <c r="AH90" s="30"/>
      <c r="AI90" s="30">
        <f t="shared" si="55"/>
        <v>300</v>
      </c>
      <c r="AJ90" s="30"/>
      <c r="AK90" s="30">
        <f t="shared" si="56"/>
        <v>319</v>
      </c>
      <c r="AL90" s="32"/>
      <c r="AM90" s="30">
        <f t="shared" si="57"/>
        <v>425</v>
      </c>
      <c r="AN90" s="30"/>
      <c r="AO90" s="30">
        <f t="shared" si="58"/>
        <v>550</v>
      </c>
      <c r="AP90" s="30"/>
      <c r="AQ90" s="30">
        <f t="shared" si="59"/>
        <v>710</v>
      </c>
      <c r="AR90" s="30"/>
      <c r="AS90" s="30">
        <f t="shared" si="60"/>
        <v>949</v>
      </c>
      <c r="AT90" s="30"/>
      <c r="AU90" s="30">
        <f t="shared" si="61"/>
        <v>1423</v>
      </c>
      <c r="AV90" s="30"/>
      <c r="AW90" s="30">
        <f t="shared" si="62"/>
        <v>1780</v>
      </c>
      <c r="AX90" s="30"/>
      <c r="AY90" s="30">
        <f t="shared" si="63"/>
        <v>2372</v>
      </c>
      <c r="AZ90" s="30"/>
      <c r="BA90" s="30">
        <f t="shared" si="64"/>
        <v>3000</v>
      </c>
      <c r="BB90" s="30"/>
      <c r="BC90" s="30">
        <f t="shared" si="65"/>
        <v>3900</v>
      </c>
      <c r="BD90" s="30"/>
      <c r="BE90" s="30">
        <f t="shared" si="66"/>
        <v>5000</v>
      </c>
      <c r="BF90" s="30"/>
      <c r="BG90" s="30">
        <f t="shared" si="67"/>
        <v>5800</v>
      </c>
      <c r="BH90" s="30"/>
      <c r="BI90" s="30">
        <f t="shared" si="68"/>
        <v>7250</v>
      </c>
      <c r="BJ90" s="30"/>
      <c r="BK90" s="30">
        <f t="shared" si="69"/>
        <v>2750</v>
      </c>
      <c r="BL90" s="30"/>
      <c r="BM90" s="30">
        <f t="shared" si="70"/>
        <v>10500</v>
      </c>
      <c r="BN90" s="30"/>
      <c r="BO90" s="30">
        <f t="shared" si="71"/>
        <v>13100</v>
      </c>
      <c r="BP90" s="30"/>
      <c r="BQ90" s="30">
        <f t="shared" si="72"/>
        <v>5000</v>
      </c>
      <c r="BR90" s="30"/>
      <c r="BS90" s="30">
        <f t="shared" si="73"/>
        <v>5600</v>
      </c>
      <c r="BT90" s="30"/>
      <c r="BU90" s="54"/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  <c r="FI90" s="54"/>
      <c r="FJ90" s="54"/>
      <c r="FK90" s="54"/>
      <c r="FL90" s="54"/>
      <c r="FM90" s="54"/>
      <c r="FN90" s="54"/>
      <c r="FO90" s="54"/>
      <c r="FP90" s="54"/>
      <c r="FQ90" s="54"/>
      <c r="FR90" s="54"/>
      <c r="FS90" s="54"/>
      <c r="FT90" s="54"/>
      <c r="FU90" s="54"/>
      <c r="FV90" s="54"/>
      <c r="FW90" s="54"/>
      <c r="FX90" s="54"/>
      <c r="FY90" s="54"/>
      <c r="FZ90" s="54"/>
      <c r="GA90" s="54"/>
      <c r="GB90" s="54"/>
      <c r="GC90" s="54"/>
      <c r="GD90" s="54"/>
      <c r="GE90" s="54"/>
      <c r="GF90" s="54"/>
      <c r="GG90" s="54"/>
      <c r="GH90" s="54"/>
      <c r="GI90" s="54"/>
      <c r="GJ90" s="54"/>
      <c r="GK90" s="54"/>
      <c r="GL90" s="54"/>
      <c r="GM90" s="54"/>
      <c r="GN90" s="54"/>
      <c r="GO90" s="54"/>
      <c r="GP90" s="54"/>
      <c r="GQ90" s="54"/>
      <c r="GR90" s="54"/>
      <c r="GS90" s="54"/>
      <c r="GT90" s="54"/>
      <c r="GU90" s="54"/>
      <c r="GV90" s="54"/>
      <c r="GW90" s="54"/>
      <c r="GX90" s="54"/>
      <c r="GY90" s="54"/>
      <c r="GZ90" s="54"/>
      <c r="HA90" s="54"/>
      <c r="HB90" s="54"/>
      <c r="HC90" s="54"/>
      <c r="HD90" s="54"/>
      <c r="HE90" s="54"/>
      <c r="HF90" s="54"/>
      <c r="HG90" s="54"/>
      <c r="HH90" s="54"/>
      <c r="HI90" s="54"/>
      <c r="HJ90" s="54"/>
      <c r="HK90" s="54"/>
      <c r="HL90" s="54"/>
      <c r="HM90" s="54"/>
      <c r="HN90" s="54"/>
      <c r="HO90" s="54"/>
      <c r="HP90" s="54"/>
      <c r="HQ90" s="54"/>
      <c r="HR90" s="54"/>
      <c r="HS90" s="54"/>
      <c r="HT90" s="54"/>
      <c r="HU90" s="54"/>
      <c r="HV90" s="54"/>
      <c r="HW90" s="54"/>
      <c r="HX90" s="54"/>
      <c r="HY90" s="54"/>
      <c r="HZ90" s="54"/>
      <c r="IA90" s="54"/>
      <c r="IB90" s="54"/>
      <c r="IC90" s="54"/>
      <c r="ID90" s="54"/>
      <c r="IE90" s="54"/>
      <c r="IF90" s="54"/>
      <c r="IG90" s="54"/>
      <c r="IH90" s="54"/>
      <c r="II90" s="54"/>
      <c r="IJ90" s="54"/>
      <c r="IK90" s="54"/>
      <c r="IL90" s="54"/>
      <c r="IM90" s="54"/>
      <c r="IN90" s="54"/>
      <c r="IO90" s="54"/>
      <c r="IP90" s="54"/>
      <c r="IQ90" s="54"/>
    </row>
    <row r="91" spans="11:251" ht="12.75">
      <c r="K91">
        <f t="shared" si="48"/>
        <v>18</v>
      </c>
      <c r="L91" s="26" t="b">
        <f t="shared" si="45"/>
        <v>0</v>
      </c>
      <c r="Q91" s="44">
        <f t="shared" si="75"/>
        <v>7</v>
      </c>
      <c r="R91" s="68">
        <v>125</v>
      </c>
      <c r="S91" s="68" t="s">
        <v>129</v>
      </c>
      <c r="T91" s="30">
        <f t="shared" si="74"/>
        <v>7</v>
      </c>
      <c r="U91" s="30" t="str">
        <f>AI70</f>
        <v>Max P25AB</v>
      </c>
      <c r="V91" s="30"/>
      <c r="W91" s="31">
        <f t="shared" si="49"/>
        <v>41.4</v>
      </c>
      <c r="X91" s="30"/>
      <c r="Y91" s="30">
        <f t="shared" si="50"/>
        <v>59</v>
      </c>
      <c r="Z91" s="30"/>
      <c r="AA91" s="30">
        <f t="shared" si="51"/>
        <v>105</v>
      </c>
      <c r="AB91" s="30"/>
      <c r="AC91" s="30">
        <f t="shared" si="52"/>
        <v>130</v>
      </c>
      <c r="AD91" s="30"/>
      <c r="AE91" s="30">
        <f t="shared" si="53"/>
        <v>190</v>
      </c>
      <c r="AF91" s="30"/>
      <c r="AG91" s="30">
        <f t="shared" si="54"/>
        <v>237</v>
      </c>
      <c r="AH91" s="30"/>
      <c r="AI91" s="30">
        <f t="shared" si="55"/>
        <v>300</v>
      </c>
      <c r="AJ91" s="30"/>
      <c r="AK91" s="30">
        <f t="shared" si="56"/>
        <v>319</v>
      </c>
      <c r="AL91" s="32"/>
      <c r="AM91" s="30">
        <f t="shared" si="57"/>
        <v>425</v>
      </c>
      <c r="AN91" s="30"/>
      <c r="AO91" s="30">
        <f t="shared" si="58"/>
        <v>550</v>
      </c>
      <c r="AP91" s="30"/>
      <c r="AQ91" s="30">
        <f t="shared" si="59"/>
        <v>710</v>
      </c>
      <c r="AR91" s="30"/>
      <c r="AS91" s="30">
        <f t="shared" si="60"/>
        <v>949</v>
      </c>
      <c r="AT91" s="30"/>
      <c r="AU91" s="30">
        <f t="shared" si="61"/>
        <v>1423</v>
      </c>
      <c r="AV91" s="30"/>
      <c r="AW91" s="30">
        <f t="shared" si="62"/>
        <v>1780</v>
      </c>
      <c r="AX91" s="30"/>
      <c r="AY91" s="30">
        <f t="shared" si="63"/>
        <v>2372</v>
      </c>
      <c r="AZ91" s="30"/>
      <c r="BA91" s="30">
        <f t="shared" si="64"/>
        <v>3000</v>
      </c>
      <c r="BB91" s="30"/>
      <c r="BC91" s="30">
        <f t="shared" si="65"/>
        <v>3900</v>
      </c>
      <c r="BD91" s="30"/>
      <c r="BE91" s="30">
        <f t="shared" si="66"/>
        <v>5000</v>
      </c>
      <c r="BF91" s="30"/>
      <c r="BG91" s="30">
        <f t="shared" si="67"/>
        <v>5800</v>
      </c>
      <c r="BH91" s="30"/>
      <c r="BI91" s="30">
        <f t="shared" si="68"/>
        <v>7250</v>
      </c>
      <c r="BJ91" s="30"/>
      <c r="BK91" s="30">
        <f t="shared" si="69"/>
        <v>8500</v>
      </c>
      <c r="BL91" s="30"/>
      <c r="BM91" s="30">
        <f t="shared" si="70"/>
        <v>10500</v>
      </c>
      <c r="BN91" s="30"/>
      <c r="BO91" s="30">
        <f t="shared" si="71"/>
        <v>13100</v>
      </c>
      <c r="BP91" s="30"/>
      <c r="BQ91" s="30">
        <f t="shared" si="72"/>
        <v>5000</v>
      </c>
      <c r="BR91" s="30"/>
      <c r="BS91" s="30">
        <f t="shared" si="73"/>
        <v>5600</v>
      </c>
      <c r="BT91" s="30"/>
      <c r="BU91" s="54"/>
      <c r="BV91" s="54"/>
      <c r="BW91" s="54"/>
      <c r="BX91" s="54"/>
      <c r="BY91" s="54"/>
      <c r="BZ91" s="54"/>
      <c r="CA91" s="54"/>
      <c r="CB91" s="54"/>
      <c r="CC91" s="54"/>
      <c r="CD91" s="54"/>
      <c r="CE91" s="54"/>
      <c r="CF91" s="54"/>
      <c r="CG91" s="54"/>
      <c r="CH91" s="54"/>
      <c r="CI91" s="54"/>
      <c r="CJ91" s="54"/>
      <c r="CK91" s="54"/>
      <c r="CL91" s="54"/>
      <c r="CM91" s="54"/>
      <c r="CN91" s="54"/>
      <c r="CO91" s="54"/>
      <c r="CP91" s="54"/>
      <c r="CQ91" s="54"/>
      <c r="CR91" s="54"/>
      <c r="CS91" s="54"/>
      <c r="CT91" s="54"/>
      <c r="CU91" s="54"/>
      <c r="CV91" s="54"/>
      <c r="CW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  <c r="FI91" s="54"/>
      <c r="FJ91" s="54"/>
      <c r="FK91" s="54"/>
      <c r="FL91" s="54"/>
      <c r="FM91" s="54"/>
      <c r="FN91" s="54"/>
      <c r="FO91" s="54"/>
      <c r="FP91" s="54"/>
      <c r="FQ91" s="54"/>
      <c r="FR91" s="54"/>
      <c r="FS91" s="54"/>
      <c r="FT91" s="54"/>
      <c r="FU91" s="54"/>
      <c r="FV91" s="54"/>
      <c r="FW91" s="54"/>
      <c r="FX91" s="54"/>
      <c r="FY91" s="54"/>
      <c r="FZ91" s="54"/>
      <c r="GA91" s="54"/>
      <c r="GB91" s="54"/>
      <c r="GC91" s="54"/>
      <c r="GD91" s="54"/>
      <c r="GE91" s="54"/>
      <c r="GF91" s="54"/>
      <c r="GG91" s="54"/>
      <c r="GH91" s="54"/>
      <c r="GI91" s="54"/>
      <c r="GJ91" s="54"/>
      <c r="GK91" s="54"/>
      <c r="GL91" s="54"/>
      <c r="GM91" s="54"/>
      <c r="GN91" s="54"/>
      <c r="GO91" s="54"/>
      <c r="GP91" s="54"/>
      <c r="GQ91" s="54"/>
      <c r="GR91" s="54"/>
      <c r="GS91" s="54"/>
      <c r="GT91" s="54"/>
      <c r="GU91" s="54"/>
      <c r="GV91" s="54"/>
      <c r="GW91" s="54"/>
      <c r="GX91" s="54"/>
      <c r="GY91" s="54"/>
      <c r="GZ91" s="54"/>
      <c r="HA91" s="54"/>
      <c r="HB91" s="54"/>
      <c r="HC91" s="54"/>
      <c r="HD91" s="54"/>
      <c r="HE91" s="54"/>
      <c r="HF91" s="54"/>
      <c r="HG91" s="54"/>
      <c r="HH91" s="54"/>
      <c r="HI91" s="54"/>
      <c r="HJ91" s="54"/>
      <c r="HK91" s="54"/>
      <c r="HL91" s="54"/>
      <c r="HM91" s="54"/>
      <c r="HN91" s="54"/>
      <c r="HO91" s="54"/>
      <c r="HP91" s="54"/>
      <c r="HQ91" s="54"/>
      <c r="HR91" s="54"/>
      <c r="HS91" s="54"/>
      <c r="HT91" s="54"/>
      <c r="HU91" s="54"/>
      <c r="HV91" s="54"/>
      <c r="HW91" s="54"/>
      <c r="HX91" s="54"/>
      <c r="HY91" s="54"/>
      <c r="HZ91" s="54"/>
      <c r="IA91" s="54"/>
      <c r="IB91" s="54"/>
      <c r="IC91" s="54"/>
      <c r="ID91" s="54"/>
      <c r="IE91" s="54"/>
      <c r="IF91" s="54"/>
      <c r="IG91" s="54"/>
      <c r="IH91" s="54"/>
      <c r="II91" s="54"/>
      <c r="IJ91" s="54"/>
      <c r="IK91" s="54"/>
      <c r="IL91" s="54"/>
      <c r="IM91" s="54"/>
      <c r="IN91" s="54"/>
      <c r="IO91" s="54"/>
      <c r="IP91" s="54"/>
      <c r="IQ91" s="54"/>
    </row>
    <row r="92" spans="11:251" ht="12.75">
      <c r="K92">
        <f t="shared" si="48"/>
        <v>19</v>
      </c>
      <c r="L92" s="26" t="b">
        <f>IF($N$39=1,U61,IF($N$39=2,U103,IF($N$39=3,U177,IF($N$39=4,U225))))</f>
        <v>0</v>
      </c>
      <c r="Q92" s="44">
        <f t="shared" si="75"/>
        <v>8</v>
      </c>
      <c r="R92" s="68">
        <v>125</v>
      </c>
      <c r="S92" s="68" t="s">
        <v>129</v>
      </c>
      <c r="T92" s="30">
        <f t="shared" si="74"/>
        <v>8</v>
      </c>
      <c r="U92" s="30" t="str">
        <f>AK70</f>
        <v>Max 30</v>
      </c>
      <c r="V92" s="30"/>
      <c r="W92" s="31">
        <f t="shared" si="49"/>
        <v>41.4</v>
      </c>
      <c r="X92" s="30"/>
      <c r="Y92" s="30">
        <f t="shared" si="50"/>
        <v>59</v>
      </c>
      <c r="Z92" s="30"/>
      <c r="AA92" s="30">
        <f t="shared" si="51"/>
        <v>105</v>
      </c>
      <c r="AB92" s="30"/>
      <c r="AC92" s="30">
        <f t="shared" si="52"/>
        <v>130</v>
      </c>
      <c r="AD92" s="30"/>
      <c r="AE92" s="30">
        <f t="shared" si="53"/>
        <v>190</v>
      </c>
      <c r="AF92" s="30"/>
      <c r="AG92" s="30">
        <f t="shared" si="54"/>
        <v>237</v>
      </c>
      <c r="AH92" s="30"/>
      <c r="AI92" s="30">
        <f t="shared" si="55"/>
        <v>300</v>
      </c>
      <c r="AJ92" s="30"/>
      <c r="AK92" s="30">
        <f t="shared" si="56"/>
        <v>319</v>
      </c>
      <c r="AL92" s="32"/>
      <c r="AM92" s="30">
        <f t="shared" si="57"/>
        <v>425</v>
      </c>
      <c r="AN92" s="30"/>
      <c r="AO92" s="30">
        <f t="shared" si="58"/>
        <v>550</v>
      </c>
      <c r="AP92" s="30"/>
      <c r="AQ92" s="30">
        <f t="shared" si="59"/>
        <v>710</v>
      </c>
      <c r="AR92" s="30"/>
      <c r="AS92" s="30">
        <f t="shared" si="60"/>
        <v>949</v>
      </c>
      <c r="AT92" s="30"/>
      <c r="AU92" s="30">
        <f t="shared" si="61"/>
        <v>1423</v>
      </c>
      <c r="AV92" s="30"/>
      <c r="AW92" s="30">
        <f t="shared" si="62"/>
        <v>1780</v>
      </c>
      <c r="AX92" s="30"/>
      <c r="AY92" s="30">
        <f t="shared" si="63"/>
        <v>2372</v>
      </c>
      <c r="AZ92" s="30"/>
      <c r="BA92" s="30">
        <f t="shared" si="64"/>
        <v>3000</v>
      </c>
      <c r="BB92" s="30"/>
      <c r="BC92" s="30">
        <f t="shared" si="65"/>
        <v>3900</v>
      </c>
      <c r="BD92" s="30"/>
      <c r="BE92" s="30">
        <f t="shared" si="66"/>
        <v>5000</v>
      </c>
      <c r="BF92" s="30"/>
      <c r="BG92" s="30">
        <f t="shared" si="67"/>
        <v>5800</v>
      </c>
      <c r="BH92" s="30"/>
      <c r="BI92" s="30">
        <f t="shared" si="68"/>
        <v>7250</v>
      </c>
      <c r="BJ92" s="30"/>
      <c r="BK92" s="30">
        <f t="shared" si="69"/>
        <v>8500</v>
      </c>
      <c r="BL92" s="30"/>
      <c r="BM92" s="30">
        <f t="shared" si="70"/>
        <v>10500</v>
      </c>
      <c r="BN92" s="30"/>
      <c r="BO92" s="30">
        <f t="shared" si="71"/>
        <v>13100</v>
      </c>
      <c r="BP92" s="30"/>
      <c r="BQ92" s="30">
        <f t="shared" si="72"/>
        <v>5000</v>
      </c>
      <c r="BR92" s="30"/>
      <c r="BS92" s="30">
        <f t="shared" si="73"/>
        <v>5600</v>
      </c>
      <c r="BT92" s="30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  <c r="FI92" s="54"/>
      <c r="FJ92" s="54"/>
      <c r="FK92" s="54"/>
      <c r="FL92" s="54"/>
      <c r="FM92" s="54"/>
      <c r="FN92" s="54"/>
      <c r="FO92" s="54"/>
      <c r="FP92" s="54"/>
      <c r="FQ92" s="54"/>
      <c r="FR92" s="54"/>
      <c r="FS92" s="54"/>
      <c r="FT92" s="54"/>
      <c r="FU92" s="54"/>
      <c r="FV92" s="54"/>
      <c r="FW92" s="54"/>
      <c r="FX92" s="54"/>
      <c r="FY92" s="54"/>
      <c r="FZ92" s="54"/>
      <c r="GA92" s="54"/>
      <c r="GB92" s="54"/>
      <c r="GC92" s="54"/>
      <c r="GD92" s="54"/>
      <c r="GE92" s="54"/>
      <c r="GF92" s="54"/>
      <c r="GG92" s="54"/>
      <c r="GH92" s="54"/>
      <c r="GI92" s="54"/>
      <c r="GJ92" s="54"/>
      <c r="GK92" s="54"/>
      <c r="GL92" s="54"/>
      <c r="GM92" s="54"/>
      <c r="GN92" s="54"/>
      <c r="GO92" s="54"/>
      <c r="GP92" s="54"/>
      <c r="GQ92" s="54"/>
      <c r="GR92" s="54"/>
      <c r="GS92" s="54"/>
      <c r="GT92" s="54"/>
      <c r="GU92" s="54"/>
      <c r="GV92" s="54"/>
      <c r="GW92" s="54"/>
      <c r="GX92" s="54"/>
      <c r="GY92" s="54"/>
      <c r="GZ92" s="54"/>
      <c r="HA92" s="54"/>
      <c r="HB92" s="54"/>
      <c r="HC92" s="54"/>
      <c r="HD92" s="54"/>
      <c r="HE92" s="54"/>
      <c r="HF92" s="54"/>
      <c r="HG92" s="54"/>
      <c r="HH92" s="54"/>
      <c r="HI92" s="54"/>
      <c r="HJ92" s="54"/>
      <c r="HK92" s="54"/>
      <c r="HL92" s="54"/>
      <c r="HM92" s="54"/>
      <c r="HN92" s="54"/>
      <c r="HO92" s="54"/>
      <c r="HP92" s="54"/>
      <c r="HQ92" s="54"/>
      <c r="HR92" s="54"/>
      <c r="HS92" s="54"/>
      <c r="HT92" s="54"/>
      <c r="HU92" s="54"/>
      <c r="HV92" s="54"/>
      <c r="HW92" s="54"/>
      <c r="HX92" s="54"/>
      <c r="HY92" s="54"/>
      <c r="HZ92" s="54"/>
      <c r="IA92" s="54"/>
      <c r="IB92" s="54"/>
      <c r="IC92" s="54"/>
      <c r="ID92" s="54"/>
      <c r="IE92" s="54"/>
      <c r="IF92" s="54"/>
      <c r="IG92" s="54"/>
      <c r="IH92" s="54"/>
      <c r="II92" s="54"/>
      <c r="IJ92" s="54"/>
      <c r="IK92" s="54"/>
      <c r="IL92" s="54"/>
      <c r="IM92" s="54"/>
      <c r="IN92" s="54"/>
      <c r="IO92" s="54"/>
      <c r="IP92" s="54"/>
      <c r="IQ92" s="54"/>
    </row>
    <row r="93" spans="11:251" ht="12.75">
      <c r="K93">
        <f t="shared" si="48"/>
        <v>20</v>
      </c>
      <c r="L93" s="26" t="b">
        <f>IF($N$39=1,U62,IF($N$39=2,U104,IF($N$39=3,U178,IF($N$39=4,U226))))</f>
        <v>0</v>
      </c>
      <c r="Q93" s="44">
        <f t="shared" si="75"/>
        <v>9</v>
      </c>
      <c r="R93" s="68">
        <v>160</v>
      </c>
      <c r="S93" s="68" t="s">
        <v>193</v>
      </c>
      <c r="T93" s="30">
        <f t="shared" si="74"/>
        <v>9</v>
      </c>
      <c r="U93" s="30" t="str">
        <f>AM70</f>
        <v>Max P 35</v>
      </c>
      <c r="V93" s="30"/>
      <c r="W93" s="31">
        <f t="shared" si="49"/>
        <v>41.4</v>
      </c>
      <c r="X93" s="30"/>
      <c r="Y93" s="30">
        <f t="shared" si="50"/>
        <v>59</v>
      </c>
      <c r="Z93" s="30"/>
      <c r="AA93" s="30">
        <f t="shared" si="51"/>
        <v>105</v>
      </c>
      <c r="AB93" s="30"/>
      <c r="AC93" s="30">
        <f t="shared" si="52"/>
        <v>130</v>
      </c>
      <c r="AD93" s="30"/>
      <c r="AE93" s="30">
        <f t="shared" si="53"/>
        <v>190</v>
      </c>
      <c r="AF93" s="30"/>
      <c r="AG93" s="30">
        <f t="shared" si="54"/>
        <v>237</v>
      </c>
      <c r="AH93" s="30"/>
      <c r="AI93" s="30">
        <f t="shared" si="55"/>
        <v>300</v>
      </c>
      <c r="AJ93" s="30"/>
      <c r="AK93" s="30">
        <f t="shared" si="56"/>
        <v>319</v>
      </c>
      <c r="AL93" s="32"/>
      <c r="AM93" s="30">
        <f t="shared" si="57"/>
        <v>425</v>
      </c>
      <c r="AN93" s="30"/>
      <c r="AO93" s="30">
        <f t="shared" si="58"/>
        <v>550</v>
      </c>
      <c r="AP93" s="30"/>
      <c r="AQ93" s="30">
        <f t="shared" si="59"/>
        <v>710</v>
      </c>
      <c r="AR93" s="30"/>
      <c r="AS93" s="30">
        <f t="shared" si="60"/>
        <v>949</v>
      </c>
      <c r="AT93" s="30"/>
      <c r="AU93" s="30">
        <f t="shared" si="61"/>
        <v>1423</v>
      </c>
      <c r="AV93" s="30"/>
      <c r="AW93" s="30">
        <f t="shared" si="62"/>
        <v>1780</v>
      </c>
      <c r="AX93" s="30"/>
      <c r="AY93" s="30">
        <f t="shared" si="63"/>
        <v>2372</v>
      </c>
      <c r="AZ93" s="30"/>
      <c r="BA93" s="30">
        <f t="shared" si="64"/>
        <v>3000</v>
      </c>
      <c r="BB93" s="30"/>
      <c r="BC93" s="30">
        <f t="shared" si="65"/>
        <v>3900</v>
      </c>
      <c r="BD93" s="30"/>
      <c r="BE93" s="30">
        <f t="shared" si="66"/>
        <v>5000</v>
      </c>
      <c r="BF93" s="30"/>
      <c r="BG93" s="30">
        <f t="shared" si="67"/>
        <v>5800</v>
      </c>
      <c r="BH93" s="30"/>
      <c r="BI93" s="30">
        <f t="shared" si="68"/>
        <v>7250</v>
      </c>
      <c r="BJ93" s="30"/>
      <c r="BK93" s="30">
        <f t="shared" si="69"/>
        <v>8500</v>
      </c>
      <c r="BL93" s="30"/>
      <c r="BM93" s="30">
        <f t="shared" si="70"/>
        <v>10500</v>
      </c>
      <c r="BN93" s="30"/>
      <c r="BO93" s="30">
        <f t="shared" si="71"/>
        <v>13100</v>
      </c>
      <c r="BP93" s="30"/>
      <c r="BQ93" s="30">
        <f t="shared" si="72"/>
        <v>5000</v>
      </c>
      <c r="BR93" s="30"/>
      <c r="BS93" s="30">
        <f t="shared" si="73"/>
        <v>5600</v>
      </c>
      <c r="BT93" s="30"/>
      <c r="BU93" s="54"/>
      <c r="BV93" s="54"/>
      <c r="BW93" s="54"/>
      <c r="BX93" s="54"/>
      <c r="BY93" s="54"/>
      <c r="BZ93" s="54"/>
      <c r="CA93" s="54"/>
      <c r="CB93" s="54"/>
      <c r="CC93" s="54"/>
      <c r="CD93" s="54"/>
      <c r="CE93" s="54"/>
      <c r="CF93" s="54"/>
      <c r="CG93" s="54"/>
      <c r="CH93" s="54"/>
      <c r="CI93" s="54"/>
      <c r="CJ93" s="54"/>
      <c r="CK93" s="54"/>
      <c r="CL93" s="54"/>
      <c r="CM93" s="54"/>
      <c r="CN93" s="54"/>
      <c r="CO93" s="54"/>
      <c r="CP93" s="54"/>
      <c r="CQ93" s="54"/>
      <c r="CR93" s="54"/>
      <c r="CS93" s="54"/>
      <c r="CT93" s="54"/>
      <c r="CU93" s="54"/>
      <c r="CV93" s="54"/>
      <c r="CW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  <c r="FI93" s="54"/>
      <c r="FJ93" s="54"/>
      <c r="FK93" s="54"/>
      <c r="FL93" s="54"/>
      <c r="FM93" s="54"/>
      <c r="FN93" s="54"/>
      <c r="FO93" s="54"/>
      <c r="FP93" s="54"/>
      <c r="FQ93" s="54"/>
      <c r="FR93" s="54"/>
      <c r="FS93" s="54"/>
      <c r="FT93" s="54"/>
      <c r="FU93" s="54"/>
      <c r="FV93" s="54"/>
      <c r="FW93" s="54"/>
      <c r="FX93" s="54"/>
      <c r="FY93" s="54"/>
      <c r="FZ93" s="54"/>
      <c r="GA93" s="54"/>
      <c r="GB93" s="54"/>
      <c r="GC93" s="54"/>
      <c r="GD93" s="54"/>
      <c r="GE93" s="54"/>
      <c r="GF93" s="54"/>
      <c r="GG93" s="54"/>
      <c r="GH93" s="54"/>
      <c r="GI93" s="54"/>
      <c r="GJ93" s="54"/>
      <c r="GK93" s="54"/>
      <c r="GL93" s="54"/>
      <c r="GM93" s="54"/>
      <c r="GN93" s="54"/>
      <c r="GO93" s="54"/>
      <c r="GP93" s="54"/>
      <c r="GQ93" s="54"/>
      <c r="GR93" s="54"/>
      <c r="GS93" s="54"/>
      <c r="GT93" s="54"/>
      <c r="GU93" s="54"/>
      <c r="GV93" s="54"/>
      <c r="GW93" s="54"/>
      <c r="GX93" s="54"/>
      <c r="GY93" s="54"/>
      <c r="GZ93" s="54"/>
      <c r="HA93" s="54"/>
      <c r="HB93" s="54"/>
      <c r="HC93" s="54"/>
      <c r="HD93" s="54"/>
      <c r="HE93" s="54"/>
      <c r="HF93" s="54"/>
      <c r="HG93" s="54"/>
      <c r="HH93" s="54"/>
      <c r="HI93" s="54"/>
      <c r="HJ93" s="54"/>
      <c r="HK93" s="54"/>
      <c r="HL93" s="54"/>
      <c r="HM93" s="54"/>
      <c r="HN93" s="54"/>
      <c r="HO93" s="54"/>
      <c r="HP93" s="54"/>
      <c r="HQ93" s="54"/>
      <c r="HR93" s="54"/>
      <c r="HS93" s="54"/>
      <c r="HT93" s="54"/>
      <c r="HU93" s="54"/>
      <c r="HV93" s="54"/>
      <c r="HW93" s="54"/>
      <c r="HX93" s="54"/>
      <c r="HY93" s="54"/>
      <c r="HZ93" s="54"/>
      <c r="IA93" s="54"/>
      <c r="IB93" s="54"/>
      <c r="IC93" s="54"/>
      <c r="ID93" s="54"/>
      <c r="IE93" s="54"/>
      <c r="IF93" s="54"/>
      <c r="IG93" s="54"/>
      <c r="IH93" s="54"/>
      <c r="II93" s="54"/>
      <c r="IJ93" s="54"/>
      <c r="IK93" s="54"/>
      <c r="IL93" s="54"/>
      <c r="IM93" s="54"/>
      <c r="IN93" s="54"/>
      <c r="IO93" s="54"/>
      <c r="IP93" s="54"/>
      <c r="IQ93" s="54"/>
    </row>
    <row r="94" spans="11:251" ht="12.75">
      <c r="K94">
        <f t="shared" si="48"/>
        <v>21</v>
      </c>
      <c r="L94" s="26" t="b">
        <f>IF($N$39=1,U63,IF($N$39=2,U105,IF($N$39=3,U179,IF($N$39=4,U227))))</f>
        <v>0</v>
      </c>
      <c r="Q94" s="44">
        <f t="shared" si="75"/>
        <v>10</v>
      </c>
      <c r="R94" s="68">
        <v>160</v>
      </c>
      <c r="S94" s="68" t="s">
        <v>134</v>
      </c>
      <c r="T94" s="30">
        <f t="shared" si="74"/>
        <v>10</v>
      </c>
      <c r="U94" s="30" t="str">
        <f>AO70</f>
        <v>Max P 45 </v>
      </c>
      <c r="V94" s="30"/>
      <c r="W94" s="31">
        <f t="shared" si="49"/>
        <v>41.4</v>
      </c>
      <c r="X94" s="30"/>
      <c r="Y94" s="30">
        <f t="shared" si="50"/>
        <v>59</v>
      </c>
      <c r="Z94" s="30"/>
      <c r="AA94" s="30">
        <f t="shared" si="51"/>
        <v>105</v>
      </c>
      <c r="AB94" s="30"/>
      <c r="AC94" s="30">
        <f t="shared" si="52"/>
        <v>130</v>
      </c>
      <c r="AD94" s="30"/>
      <c r="AE94" s="30">
        <f t="shared" si="53"/>
        <v>190</v>
      </c>
      <c r="AF94" s="30"/>
      <c r="AG94" s="30">
        <f t="shared" si="54"/>
        <v>237</v>
      </c>
      <c r="AH94" s="30"/>
      <c r="AI94" s="30">
        <f t="shared" si="55"/>
        <v>300</v>
      </c>
      <c r="AJ94" s="30"/>
      <c r="AK94" s="30">
        <f t="shared" si="56"/>
        <v>319</v>
      </c>
      <c r="AL94" s="32"/>
      <c r="AM94" s="30">
        <f t="shared" si="57"/>
        <v>425</v>
      </c>
      <c r="AN94" s="30"/>
      <c r="AO94" s="30">
        <f t="shared" si="58"/>
        <v>550</v>
      </c>
      <c r="AP94" s="30"/>
      <c r="AQ94" s="30">
        <f t="shared" si="59"/>
        <v>710</v>
      </c>
      <c r="AR94" s="30"/>
      <c r="AS94" s="30">
        <f t="shared" si="60"/>
        <v>949</v>
      </c>
      <c r="AT94" s="30"/>
      <c r="AU94" s="30">
        <f t="shared" si="61"/>
        <v>1423</v>
      </c>
      <c r="AV94" s="30"/>
      <c r="AW94" s="30">
        <f t="shared" si="62"/>
        <v>1780</v>
      </c>
      <c r="AX94" s="30"/>
      <c r="AY94" s="30">
        <f t="shared" si="63"/>
        <v>2372</v>
      </c>
      <c r="AZ94" s="30"/>
      <c r="BA94" s="30">
        <f t="shared" si="64"/>
        <v>3000</v>
      </c>
      <c r="BB94" s="30"/>
      <c r="BC94" s="30">
        <f t="shared" si="65"/>
        <v>3900</v>
      </c>
      <c r="BD94" s="30"/>
      <c r="BE94" s="30">
        <f t="shared" si="66"/>
        <v>5000</v>
      </c>
      <c r="BF94" s="30"/>
      <c r="BG94" s="30">
        <f t="shared" si="67"/>
        <v>5800</v>
      </c>
      <c r="BH94" s="30"/>
      <c r="BI94" s="30">
        <f t="shared" si="68"/>
        <v>7250</v>
      </c>
      <c r="BJ94" s="30"/>
      <c r="BK94" s="30">
        <f t="shared" si="69"/>
        <v>8500</v>
      </c>
      <c r="BL94" s="30"/>
      <c r="BM94" s="30">
        <f t="shared" si="70"/>
        <v>10500</v>
      </c>
      <c r="BN94" s="30"/>
      <c r="BO94" s="30">
        <f t="shared" si="71"/>
        <v>13100</v>
      </c>
      <c r="BP94" s="30"/>
      <c r="BQ94" s="30">
        <f t="shared" si="72"/>
        <v>5000</v>
      </c>
      <c r="BR94" s="30"/>
      <c r="BS94" s="30">
        <f t="shared" si="73"/>
        <v>5600</v>
      </c>
      <c r="BT94" s="30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  <c r="FI94" s="54"/>
      <c r="FJ94" s="54"/>
      <c r="FK94" s="54"/>
      <c r="FL94" s="54"/>
      <c r="FM94" s="54"/>
      <c r="FN94" s="54"/>
      <c r="FO94" s="54"/>
      <c r="FP94" s="54"/>
      <c r="FQ94" s="54"/>
      <c r="FR94" s="54"/>
      <c r="FS94" s="54"/>
      <c r="FT94" s="54"/>
      <c r="FU94" s="54"/>
      <c r="FV94" s="54"/>
      <c r="FW94" s="54"/>
      <c r="FX94" s="54"/>
      <c r="FY94" s="54"/>
      <c r="FZ94" s="54"/>
      <c r="GA94" s="54"/>
      <c r="GB94" s="54"/>
      <c r="GC94" s="54"/>
      <c r="GD94" s="54"/>
      <c r="GE94" s="54"/>
      <c r="GF94" s="54"/>
      <c r="GG94" s="54"/>
      <c r="GH94" s="54"/>
      <c r="GI94" s="54"/>
      <c r="GJ94" s="54"/>
      <c r="GK94" s="54"/>
      <c r="GL94" s="54"/>
      <c r="GM94" s="54"/>
      <c r="GN94" s="54"/>
      <c r="GO94" s="54"/>
      <c r="GP94" s="54"/>
      <c r="GQ94" s="54"/>
      <c r="GR94" s="54"/>
      <c r="GS94" s="54"/>
      <c r="GT94" s="54"/>
      <c r="GU94" s="54"/>
      <c r="GV94" s="54"/>
      <c r="GW94" s="54"/>
      <c r="GX94" s="54"/>
      <c r="GY94" s="54"/>
      <c r="GZ94" s="54"/>
      <c r="HA94" s="54"/>
      <c r="HB94" s="54"/>
      <c r="HC94" s="54"/>
      <c r="HD94" s="54"/>
      <c r="HE94" s="54"/>
      <c r="HF94" s="54"/>
      <c r="HG94" s="54"/>
      <c r="HH94" s="54"/>
      <c r="HI94" s="54"/>
      <c r="HJ94" s="54"/>
      <c r="HK94" s="54"/>
      <c r="HL94" s="54"/>
      <c r="HM94" s="54"/>
      <c r="HN94" s="54"/>
      <c r="HO94" s="54"/>
      <c r="HP94" s="54"/>
      <c r="HQ94" s="54"/>
      <c r="HR94" s="54"/>
      <c r="HS94" s="54"/>
      <c r="HT94" s="54"/>
      <c r="HU94" s="54"/>
      <c r="HV94" s="54"/>
      <c r="HW94" s="54"/>
      <c r="HX94" s="54"/>
      <c r="HY94" s="54"/>
      <c r="HZ94" s="54"/>
      <c r="IA94" s="54"/>
      <c r="IB94" s="54"/>
      <c r="IC94" s="54"/>
      <c r="ID94" s="54"/>
      <c r="IE94" s="54"/>
      <c r="IF94" s="54"/>
      <c r="IG94" s="54"/>
      <c r="IH94" s="54"/>
      <c r="II94" s="54"/>
      <c r="IJ94" s="54"/>
      <c r="IK94" s="54"/>
      <c r="IL94" s="54"/>
      <c r="IM94" s="54"/>
      <c r="IN94" s="54"/>
      <c r="IO94" s="54"/>
      <c r="IP94" s="54"/>
      <c r="IQ94" s="54"/>
    </row>
    <row r="95" spans="11:251" ht="13.5" thickBot="1">
      <c r="K95">
        <f t="shared" si="48"/>
        <v>22</v>
      </c>
      <c r="L95" s="27" t="b">
        <f>IF($N$39=1,U64,IF($N$39=2,U106,IF($N$39=3,U180,IF($N$39=4,U228))))</f>
        <v>0</v>
      </c>
      <c r="Q95" s="44">
        <f t="shared" si="75"/>
        <v>11</v>
      </c>
      <c r="R95" s="68">
        <v>180</v>
      </c>
      <c r="S95" s="68" t="s">
        <v>133</v>
      </c>
      <c r="T95" s="30">
        <f t="shared" si="74"/>
        <v>11</v>
      </c>
      <c r="U95" s="30" t="str">
        <f>AQ70</f>
        <v>MAIOR P 60</v>
      </c>
      <c r="V95" s="40"/>
      <c r="W95" s="30" t="s">
        <v>102</v>
      </c>
      <c r="X95" s="40"/>
      <c r="Y95" s="30" t="s">
        <v>102</v>
      </c>
      <c r="Z95" s="40"/>
      <c r="AA95" s="30"/>
      <c r="AB95" s="40"/>
      <c r="AC95" s="30"/>
      <c r="AD95" s="40"/>
      <c r="AE95" s="30" t="s">
        <v>88</v>
      </c>
      <c r="AF95" s="40"/>
      <c r="AG95" s="30" t="s">
        <v>89</v>
      </c>
      <c r="AH95" s="40"/>
      <c r="AI95" s="30" t="s">
        <v>93</v>
      </c>
      <c r="AJ95" s="40"/>
      <c r="AK95" s="7"/>
      <c r="AL95" s="7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1"/>
      <c r="BA95" s="51"/>
      <c r="BB95" s="51"/>
      <c r="BC95" s="51"/>
      <c r="BD95" s="51"/>
      <c r="BE95" s="51"/>
      <c r="BF95" s="51"/>
      <c r="BG95" s="51"/>
      <c r="BH95" s="51"/>
      <c r="BI95" s="51"/>
      <c r="BJ95" s="51"/>
      <c r="BK95" s="51"/>
      <c r="BL95" s="51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/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54"/>
      <c r="CP95" s="54"/>
      <c r="CQ95" s="54"/>
      <c r="CR95" s="54"/>
      <c r="CS95" s="54"/>
      <c r="CT95" s="54"/>
      <c r="CU95" s="54"/>
      <c r="CV95" s="54"/>
      <c r="CW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  <c r="FI95" s="54"/>
      <c r="FJ95" s="54"/>
      <c r="FK95" s="54"/>
      <c r="FL95" s="54"/>
      <c r="FM95" s="54"/>
      <c r="FN95" s="54"/>
      <c r="FO95" s="54"/>
      <c r="FP95" s="54"/>
      <c r="FQ95" s="54"/>
      <c r="FR95" s="54"/>
      <c r="FS95" s="54"/>
      <c r="FT95" s="54"/>
      <c r="FU95" s="54"/>
      <c r="FV95" s="54"/>
      <c r="FW95" s="54"/>
      <c r="FX95" s="54"/>
      <c r="FY95" s="54"/>
      <c r="FZ95" s="54"/>
      <c r="GA95" s="54"/>
      <c r="GB95" s="54"/>
      <c r="GC95" s="54"/>
      <c r="GD95" s="54"/>
      <c r="GE95" s="54"/>
      <c r="GF95" s="54"/>
      <c r="GG95" s="54"/>
      <c r="GH95" s="54"/>
      <c r="GI95" s="54"/>
      <c r="GJ95" s="54"/>
      <c r="GK95" s="54"/>
      <c r="GL95" s="54"/>
      <c r="GM95" s="54"/>
      <c r="GN95" s="54"/>
      <c r="GO95" s="54"/>
      <c r="GP95" s="54"/>
      <c r="GQ95" s="54"/>
      <c r="GR95" s="54"/>
      <c r="GS95" s="54"/>
      <c r="GT95" s="54"/>
      <c r="GU95" s="54"/>
      <c r="GV95" s="54"/>
      <c r="GW95" s="54"/>
      <c r="GX95" s="54"/>
      <c r="GY95" s="54"/>
      <c r="GZ95" s="54"/>
      <c r="HA95" s="54"/>
      <c r="HB95" s="54"/>
      <c r="HC95" s="54"/>
      <c r="HD95" s="54"/>
      <c r="HE95" s="54"/>
      <c r="HF95" s="54"/>
      <c r="HG95" s="54"/>
      <c r="HH95" s="54"/>
      <c r="HI95" s="54"/>
      <c r="HJ95" s="54"/>
      <c r="HK95" s="54"/>
      <c r="HL95" s="54"/>
      <c r="HM95" s="54"/>
      <c r="HN95" s="54"/>
      <c r="HO95" s="54"/>
      <c r="HP95" s="54"/>
      <c r="HQ95" s="54"/>
      <c r="HR95" s="54"/>
      <c r="HS95" s="54"/>
      <c r="HT95" s="54"/>
      <c r="HU95" s="54"/>
      <c r="HV95" s="54"/>
      <c r="HW95" s="54"/>
      <c r="HX95" s="54"/>
      <c r="HY95" s="54"/>
      <c r="HZ95" s="54"/>
      <c r="IA95" s="54"/>
      <c r="IB95" s="54"/>
      <c r="IC95" s="54"/>
      <c r="ID95" s="54"/>
      <c r="IE95" s="54"/>
      <c r="IF95" s="54"/>
      <c r="IG95" s="54"/>
      <c r="IH95" s="54"/>
      <c r="II95" s="54"/>
      <c r="IJ95" s="54"/>
      <c r="IK95" s="54"/>
      <c r="IL95" s="54"/>
      <c r="IM95" s="54"/>
      <c r="IN95" s="54"/>
      <c r="IO95" s="54"/>
      <c r="IP95" s="54"/>
      <c r="IQ95" s="54"/>
    </row>
    <row r="96" spans="17:64" ht="12.75">
      <c r="Q96" s="44">
        <f t="shared" si="75"/>
        <v>12</v>
      </c>
      <c r="R96" s="68">
        <v>180</v>
      </c>
      <c r="S96" s="68" t="s">
        <v>133</v>
      </c>
      <c r="T96" s="30">
        <f t="shared" si="74"/>
        <v>12</v>
      </c>
      <c r="U96" s="30" t="str">
        <f>AS70</f>
        <v>MAIOR P 80 </v>
      </c>
      <c r="V96" s="40"/>
      <c r="W96" s="30" t="s">
        <v>76</v>
      </c>
      <c r="X96" s="41" t="s">
        <v>3</v>
      </c>
      <c r="Y96" s="30" t="s">
        <v>76</v>
      </c>
      <c r="Z96" s="41" t="s">
        <v>3</v>
      </c>
      <c r="AA96" s="30" t="s">
        <v>76</v>
      </c>
      <c r="AB96" s="41" t="s">
        <v>3</v>
      </c>
      <c r="AC96" s="30" t="s">
        <v>76</v>
      </c>
      <c r="AD96" s="41" t="s">
        <v>3</v>
      </c>
      <c r="AE96" s="30" t="s">
        <v>76</v>
      </c>
      <c r="AF96" s="41" t="s">
        <v>3</v>
      </c>
      <c r="AG96" s="30" t="s">
        <v>76</v>
      </c>
      <c r="AH96" s="41" t="s">
        <v>3</v>
      </c>
      <c r="AI96" s="30" t="s">
        <v>76</v>
      </c>
      <c r="AJ96" s="41" t="s">
        <v>3</v>
      </c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</row>
    <row r="97" spans="17:64" ht="12.75">
      <c r="Q97" s="44">
        <f t="shared" si="75"/>
        <v>13</v>
      </c>
      <c r="R97" s="68">
        <v>190</v>
      </c>
      <c r="S97" s="68" t="s">
        <v>132</v>
      </c>
      <c r="T97" s="30">
        <f t="shared" si="74"/>
        <v>13</v>
      </c>
      <c r="U97" s="30" t="str">
        <f>AU70</f>
        <v>MAIOR P 120 </v>
      </c>
      <c r="V97" s="40">
        <v>29</v>
      </c>
      <c r="W97" s="30">
        <v>0</v>
      </c>
      <c r="X97" s="30">
        <v>35.5</v>
      </c>
      <c r="Y97" s="30">
        <v>0</v>
      </c>
      <c r="Z97" s="30">
        <v>47.3</v>
      </c>
      <c r="AA97" s="30"/>
      <c r="AB97" s="30"/>
      <c r="AC97" s="30"/>
      <c r="AD97" s="30"/>
      <c r="AE97" s="30">
        <v>0</v>
      </c>
      <c r="AF97" s="30">
        <v>190</v>
      </c>
      <c r="AG97" s="30">
        <v>0</v>
      </c>
      <c r="AH97" s="30">
        <v>300</v>
      </c>
      <c r="AI97" s="30"/>
      <c r="AJ97" s="30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7:64" ht="12.75">
      <c r="Q98" s="44">
        <f t="shared" si="75"/>
        <v>14</v>
      </c>
      <c r="R98" s="68">
        <v>250</v>
      </c>
      <c r="S98" s="68" t="s">
        <v>131</v>
      </c>
      <c r="T98" s="30">
        <f t="shared" si="74"/>
        <v>14</v>
      </c>
      <c r="U98" s="30" t="str">
        <f>AW70</f>
        <v>MAIOR P 150.1</v>
      </c>
      <c r="V98" s="40">
        <f>V97+1</f>
        <v>30</v>
      </c>
      <c r="W98" s="30">
        <v>0.6</v>
      </c>
      <c r="X98" s="30">
        <v>35.5</v>
      </c>
      <c r="Y98" s="30">
        <v>1</v>
      </c>
      <c r="Z98" s="30">
        <v>47.3</v>
      </c>
      <c r="AA98" s="30"/>
      <c r="AB98" s="30"/>
      <c r="AC98" s="30"/>
      <c r="AD98" s="30"/>
      <c r="AE98" s="30">
        <v>0.5</v>
      </c>
      <c r="AF98" s="30">
        <v>190</v>
      </c>
      <c r="AG98" s="30">
        <v>0.5</v>
      </c>
      <c r="AH98" s="30">
        <v>300</v>
      </c>
      <c r="AI98" s="30"/>
      <c r="AJ98" s="30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</row>
    <row r="99" spans="17:64" ht="12.75">
      <c r="Q99" s="44">
        <f t="shared" si="75"/>
        <v>15</v>
      </c>
      <c r="R99" s="68">
        <v>270</v>
      </c>
      <c r="S99" s="68" t="s">
        <v>131</v>
      </c>
      <c r="T99" s="30">
        <f t="shared" si="74"/>
        <v>15</v>
      </c>
      <c r="U99" s="30" t="str">
        <f>AY70</f>
        <v>MAIOR P 200.1</v>
      </c>
      <c r="V99" s="40">
        <f aca="true" t="shared" si="76" ref="V99:V119">V98+1</f>
        <v>31</v>
      </c>
      <c r="W99" s="30">
        <v>3</v>
      </c>
      <c r="X99" s="30">
        <v>25</v>
      </c>
      <c r="Y99" s="30">
        <v>3</v>
      </c>
      <c r="Z99" s="30">
        <v>36</v>
      </c>
      <c r="AA99" s="30"/>
      <c r="AB99" s="30"/>
      <c r="AC99" s="30"/>
      <c r="AD99" s="30"/>
      <c r="AE99" s="30">
        <v>3.5</v>
      </c>
      <c r="AF99" s="30">
        <v>139.5</v>
      </c>
      <c r="AG99" s="30">
        <v>2.75</v>
      </c>
      <c r="AH99" s="30">
        <v>247</v>
      </c>
      <c r="AI99" s="30"/>
      <c r="AJ99" s="30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</row>
    <row r="100" spans="17:64" ht="12.75">
      <c r="Q100" s="44">
        <f t="shared" si="75"/>
        <v>16</v>
      </c>
      <c r="R100" s="68">
        <v>290</v>
      </c>
      <c r="S100" s="68" t="s">
        <v>119</v>
      </c>
      <c r="T100" s="30">
        <f t="shared" si="74"/>
        <v>16</v>
      </c>
      <c r="U100" s="30" t="str">
        <f>BA70</f>
        <v>MAIOR P 300.1</v>
      </c>
      <c r="V100" s="40">
        <f t="shared" si="76"/>
        <v>32</v>
      </c>
      <c r="W100" s="30">
        <v>3</v>
      </c>
      <c r="X100" s="30">
        <v>17.6</v>
      </c>
      <c r="Y100" s="30">
        <v>3</v>
      </c>
      <c r="Z100" s="30">
        <v>17.6</v>
      </c>
      <c r="AA100" s="30"/>
      <c r="AB100" s="30"/>
      <c r="AC100" s="30"/>
      <c r="AD100" s="30"/>
      <c r="AE100" s="30">
        <v>5.1</v>
      </c>
      <c r="AF100" s="30">
        <v>96.5</v>
      </c>
      <c r="AG100" s="30">
        <v>5.5</v>
      </c>
      <c r="AH100" s="30">
        <v>152</v>
      </c>
      <c r="AI100" s="30"/>
      <c r="AJ100" s="30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7:64" ht="12.75">
      <c r="Q101" s="44">
        <f t="shared" si="75"/>
        <v>17</v>
      </c>
      <c r="R101" s="68">
        <v>320</v>
      </c>
      <c r="S101" s="68" t="s">
        <v>135</v>
      </c>
      <c r="T101" s="30">
        <f t="shared" si="74"/>
        <v>17</v>
      </c>
      <c r="U101" s="30" t="str">
        <f>BC70</f>
        <v>MAIOR P 400.1</v>
      </c>
      <c r="V101" s="40">
        <f t="shared" si="76"/>
        <v>33</v>
      </c>
      <c r="W101" s="30">
        <v>0</v>
      </c>
      <c r="X101" s="30">
        <v>17.6</v>
      </c>
      <c r="Y101" s="30">
        <v>0</v>
      </c>
      <c r="Z101" s="30">
        <v>17.6</v>
      </c>
      <c r="AA101" s="30"/>
      <c r="AB101" s="30"/>
      <c r="AC101" s="30"/>
      <c r="AD101" s="30"/>
      <c r="AE101" s="30">
        <v>3.3</v>
      </c>
      <c r="AF101" s="30">
        <v>77</v>
      </c>
      <c r="AG101" s="30">
        <v>2.4</v>
      </c>
      <c r="AH101" s="30">
        <v>102</v>
      </c>
      <c r="AI101" s="30"/>
      <c r="AJ101" s="30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</row>
    <row r="102" spans="17:64" ht="12.75">
      <c r="Q102" s="44">
        <f t="shared" si="75"/>
        <v>18</v>
      </c>
      <c r="R102" s="68">
        <v>320</v>
      </c>
      <c r="S102" s="68" t="s">
        <v>136</v>
      </c>
      <c r="T102" s="30">
        <f t="shared" si="74"/>
        <v>18</v>
      </c>
      <c r="U102" s="30" t="str">
        <f>BE70</f>
        <v>MAIOR P 500.1</v>
      </c>
      <c r="V102" s="40">
        <f t="shared" si="76"/>
        <v>34</v>
      </c>
      <c r="W102" s="30">
        <v>0</v>
      </c>
      <c r="X102" s="30">
        <v>35.5</v>
      </c>
      <c r="Y102" s="30">
        <v>0</v>
      </c>
      <c r="Z102" s="30">
        <v>47.3</v>
      </c>
      <c r="AA102" s="30"/>
      <c r="AB102" s="30"/>
      <c r="AC102" s="30"/>
      <c r="AD102" s="30"/>
      <c r="AE102" s="30">
        <v>0</v>
      </c>
      <c r="AF102" s="30">
        <v>77</v>
      </c>
      <c r="AG102" s="30">
        <v>0</v>
      </c>
      <c r="AH102" s="30">
        <v>102</v>
      </c>
      <c r="AI102" s="30"/>
      <c r="AJ102" s="30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</row>
    <row r="103" spans="17:64" ht="12.75">
      <c r="Q103" s="44">
        <f t="shared" si="75"/>
        <v>19</v>
      </c>
      <c r="R103" s="68">
        <v>320</v>
      </c>
      <c r="S103" s="68" t="s">
        <v>136</v>
      </c>
      <c r="T103" s="30">
        <f t="shared" si="74"/>
        <v>19</v>
      </c>
      <c r="U103" s="30" t="str">
        <f>BG70</f>
        <v>MAIOR P 600.1</v>
      </c>
      <c r="V103" s="40">
        <f t="shared" si="76"/>
        <v>35</v>
      </c>
      <c r="W103" s="30">
        <v>0</v>
      </c>
      <c r="X103" s="30">
        <v>35.5</v>
      </c>
      <c r="Y103" s="30">
        <v>0</v>
      </c>
      <c r="Z103" s="30">
        <v>47.3</v>
      </c>
      <c r="AA103" s="30"/>
      <c r="AB103" s="30"/>
      <c r="AC103" s="30"/>
      <c r="AD103" s="30"/>
      <c r="AE103" s="30">
        <v>0</v>
      </c>
      <c r="AF103" s="30">
        <v>190</v>
      </c>
      <c r="AG103" s="30">
        <v>0</v>
      </c>
      <c r="AH103" s="30">
        <v>300</v>
      </c>
      <c r="AI103" s="30"/>
      <c r="AJ103" s="30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</row>
    <row r="104" spans="17:64" ht="12.75">
      <c r="Q104" s="44">
        <f t="shared" si="75"/>
        <v>20</v>
      </c>
      <c r="R104" s="68">
        <v>420</v>
      </c>
      <c r="S104" s="68">
        <v>457</v>
      </c>
      <c r="T104" s="30">
        <f t="shared" si="74"/>
        <v>20</v>
      </c>
      <c r="U104" s="30" t="str">
        <f>BI70</f>
        <v>MAIOR P 700.1</v>
      </c>
      <c r="V104" s="40">
        <f t="shared" si="76"/>
        <v>36</v>
      </c>
      <c r="W104" s="30">
        <v>0</v>
      </c>
      <c r="X104" s="30">
        <v>35.5</v>
      </c>
      <c r="Y104" s="30">
        <v>0</v>
      </c>
      <c r="Z104" s="30">
        <v>47.3</v>
      </c>
      <c r="AA104" s="30"/>
      <c r="AB104" s="30"/>
      <c r="AC104" s="30"/>
      <c r="AD104" s="30"/>
      <c r="AE104" s="30">
        <v>0</v>
      </c>
      <c r="AF104" s="30">
        <v>190</v>
      </c>
      <c r="AG104" s="30">
        <v>0</v>
      </c>
      <c r="AH104" s="30">
        <v>300</v>
      </c>
      <c r="AI104" s="30"/>
      <c r="AJ104" s="30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</row>
    <row r="105" spans="17:64" ht="12.75">
      <c r="Q105" s="44">
        <f t="shared" si="75"/>
        <v>21</v>
      </c>
      <c r="R105" s="68">
        <v>420</v>
      </c>
      <c r="S105" s="68">
        <v>457</v>
      </c>
      <c r="T105" s="30">
        <f t="shared" si="74"/>
        <v>21</v>
      </c>
      <c r="U105" s="30" t="str">
        <f>BK70</f>
        <v>MAIOR P 800.1</v>
      </c>
      <c r="V105" s="40">
        <f t="shared" si="76"/>
        <v>37</v>
      </c>
      <c r="W105" s="30">
        <v>0</v>
      </c>
      <c r="X105" s="30">
        <v>35.5</v>
      </c>
      <c r="Y105" s="30">
        <v>0</v>
      </c>
      <c r="Z105" s="30">
        <v>47.3</v>
      </c>
      <c r="AA105" s="30"/>
      <c r="AB105" s="30"/>
      <c r="AC105" s="30"/>
      <c r="AD105" s="30"/>
      <c r="AE105" s="30">
        <v>0</v>
      </c>
      <c r="AF105" s="30">
        <v>190</v>
      </c>
      <c r="AG105" s="30">
        <v>0</v>
      </c>
      <c r="AH105" s="30">
        <v>300</v>
      </c>
      <c r="AI105" s="30"/>
      <c r="AJ105" s="30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7:64" ht="12.75">
      <c r="Q106" s="44">
        <f t="shared" si="75"/>
        <v>22</v>
      </c>
      <c r="R106" s="68">
        <v>420</v>
      </c>
      <c r="S106" s="68">
        <v>457</v>
      </c>
      <c r="T106" s="30">
        <f t="shared" si="74"/>
        <v>22</v>
      </c>
      <c r="U106" s="30" t="str">
        <f>BM70</f>
        <v>MAIOR P 1000.1</v>
      </c>
      <c r="V106" s="40">
        <f t="shared" si="76"/>
        <v>38</v>
      </c>
      <c r="W106" s="30">
        <v>0</v>
      </c>
      <c r="X106" s="30">
        <v>35.5</v>
      </c>
      <c r="Y106" s="30">
        <v>0</v>
      </c>
      <c r="Z106" s="30">
        <v>47.3</v>
      </c>
      <c r="AA106" s="30"/>
      <c r="AB106" s="30"/>
      <c r="AC106" s="30"/>
      <c r="AD106" s="30"/>
      <c r="AE106" s="30">
        <v>0</v>
      </c>
      <c r="AF106" s="30">
        <v>190</v>
      </c>
      <c r="AG106" s="30">
        <v>0</v>
      </c>
      <c r="AH106" s="30">
        <v>300</v>
      </c>
      <c r="AI106" s="30"/>
      <c r="AJ106" s="30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7:64" ht="12.75">
      <c r="Q107" s="44">
        <f t="shared" si="75"/>
        <v>23</v>
      </c>
      <c r="R107" s="68">
        <v>450</v>
      </c>
      <c r="S107" s="68">
        <v>457</v>
      </c>
      <c r="T107" s="30">
        <f t="shared" si="74"/>
        <v>23</v>
      </c>
      <c r="U107" s="30" t="str">
        <f>BO70</f>
        <v>MAIOR P 1200.1</v>
      </c>
      <c r="V107" s="40">
        <f t="shared" si="76"/>
        <v>39</v>
      </c>
      <c r="W107" s="30">
        <v>0</v>
      </c>
      <c r="X107" s="30">
        <v>35.5</v>
      </c>
      <c r="Y107" s="30">
        <v>0</v>
      </c>
      <c r="Z107" s="30">
        <v>47.3</v>
      </c>
      <c r="AA107" s="30"/>
      <c r="AB107" s="30"/>
      <c r="AC107" s="30"/>
      <c r="AD107" s="30"/>
      <c r="AE107" s="30">
        <v>0</v>
      </c>
      <c r="AF107" s="30">
        <v>190</v>
      </c>
      <c r="AG107" s="30">
        <v>0</v>
      </c>
      <c r="AH107" s="30">
        <v>300</v>
      </c>
      <c r="AI107" s="30"/>
      <c r="AJ107" s="30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</row>
    <row r="108" spans="17:64" ht="12.75">
      <c r="Q108" s="44">
        <f t="shared" si="75"/>
        <v>24</v>
      </c>
      <c r="R108" s="68">
        <v>550</v>
      </c>
      <c r="S108" s="68">
        <v>590</v>
      </c>
      <c r="T108" s="30">
        <f t="shared" si="74"/>
        <v>24</v>
      </c>
      <c r="U108" s="30" t="str">
        <f>BQ70</f>
        <v>MAIOR P 1500.1</v>
      </c>
      <c r="V108" s="40">
        <f t="shared" si="76"/>
        <v>40</v>
      </c>
      <c r="W108" s="39" t="s">
        <v>5</v>
      </c>
      <c r="X108" s="40"/>
      <c r="Y108" s="39" t="s">
        <v>5</v>
      </c>
      <c r="Z108" s="40"/>
      <c r="AA108" s="39" t="s">
        <v>5</v>
      </c>
      <c r="AB108" s="40"/>
      <c r="AC108" s="39" t="s">
        <v>5</v>
      </c>
      <c r="AD108" s="40"/>
      <c r="AE108" s="39" t="s">
        <v>5</v>
      </c>
      <c r="AF108" s="40"/>
      <c r="AG108" s="39" t="s">
        <v>5</v>
      </c>
      <c r="AH108" s="40"/>
      <c r="AI108" s="39" t="s">
        <v>5</v>
      </c>
      <c r="AJ108" s="40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</row>
    <row r="109" spans="17:90" ht="12.75">
      <c r="Q109" s="44">
        <f t="shared" si="75"/>
        <v>25</v>
      </c>
      <c r="R109" s="68">
        <v>550</v>
      </c>
      <c r="S109" s="68">
        <v>590</v>
      </c>
      <c r="T109" s="30">
        <f t="shared" si="74"/>
        <v>25</v>
      </c>
      <c r="U109" s="30" t="str">
        <f>BS70</f>
        <v>MAIOR P 1800.1</v>
      </c>
      <c r="V109" s="40">
        <f t="shared" si="76"/>
        <v>41</v>
      </c>
      <c r="W109" s="39">
        <f aca="true" t="shared" si="77" ref="W109:W119">X97</f>
        <v>35.5</v>
      </c>
      <c r="X109" s="40"/>
      <c r="Y109" s="39">
        <f aca="true" t="shared" si="78" ref="Y109:Y119">Z97</f>
        <v>47.3</v>
      </c>
      <c r="Z109" s="40"/>
      <c r="AA109" s="39">
        <f aca="true" t="shared" si="79" ref="AA109:AA119">AB97</f>
        <v>0</v>
      </c>
      <c r="AB109" s="40"/>
      <c r="AC109" s="39">
        <f aca="true" t="shared" si="80" ref="AC109:AC119">AD97</f>
        <v>0</v>
      </c>
      <c r="AD109" s="40"/>
      <c r="AE109" s="39">
        <f aca="true" t="shared" si="81" ref="AE109:AE119">AF97</f>
        <v>190</v>
      </c>
      <c r="AF109" s="40"/>
      <c r="AG109" s="39">
        <f aca="true" t="shared" si="82" ref="AG109:AG119">AH97</f>
        <v>300</v>
      </c>
      <c r="AH109" s="40"/>
      <c r="AI109" s="39">
        <f aca="true" t="shared" si="83" ref="AI109:AI119">AJ97</f>
        <v>0</v>
      </c>
      <c r="AJ109" s="40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</row>
    <row r="110" spans="17:90" ht="12.75">
      <c r="Q110" s="45"/>
      <c r="R110" s="45"/>
      <c r="S110" s="45"/>
      <c r="T110" s="40"/>
      <c r="U110" s="40"/>
      <c r="V110" s="40">
        <f t="shared" si="76"/>
        <v>42</v>
      </c>
      <c r="W110" s="39">
        <f t="shared" si="77"/>
        <v>35.5</v>
      </c>
      <c r="X110" s="40"/>
      <c r="Y110" s="39">
        <f t="shared" si="78"/>
        <v>47.3</v>
      </c>
      <c r="Z110" s="40"/>
      <c r="AA110" s="39">
        <f t="shared" si="79"/>
        <v>0</v>
      </c>
      <c r="AB110" s="40"/>
      <c r="AC110" s="39">
        <f t="shared" si="80"/>
        <v>0</v>
      </c>
      <c r="AD110" s="40"/>
      <c r="AE110" s="39">
        <f t="shared" si="81"/>
        <v>190</v>
      </c>
      <c r="AF110" s="40"/>
      <c r="AG110" s="39">
        <f t="shared" si="82"/>
        <v>300</v>
      </c>
      <c r="AH110" s="40"/>
      <c r="AI110" s="39">
        <f t="shared" si="83"/>
        <v>0</v>
      </c>
      <c r="AJ110" s="40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</row>
    <row r="111" spans="17:90" ht="12.75">
      <c r="Q111" s="45"/>
      <c r="R111" s="45"/>
      <c r="S111" s="45"/>
      <c r="T111" s="40"/>
      <c r="U111" s="40"/>
      <c r="V111" s="40">
        <f t="shared" si="76"/>
        <v>43</v>
      </c>
      <c r="W111" s="39">
        <f t="shared" si="77"/>
        <v>25</v>
      </c>
      <c r="X111" s="40"/>
      <c r="Y111" s="39">
        <f t="shared" si="78"/>
        <v>36</v>
      </c>
      <c r="Z111" s="40"/>
      <c r="AA111" s="39">
        <f t="shared" si="79"/>
        <v>0</v>
      </c>
      <c r="AB111" s="40"/>
      <c r="AC111" s="39">
        <f t="shared" si="80"/>
        <v>0</v>
      </c>
      <c r="AD111" s="40"/>
      <c r="AE111" s="39">
        <f t="shared" si="81"/>
        <v>139.5</v>
      </c>
      <c r="AF111" s="40"/>
      <c r="AG111" s="39">
        <f t="shared" si="82"/>
        <v>247</v>
      </c>
      <c r="AH111" s="40"/>
      <c r="AI111" s="39">
        <f t="shared" si="83"/>
        <v>0</v>
      </c>
      <c r="AJ111" s="40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</row>
    <row r="112" spans="17:90" ht="12.75">
      <c r="Q112" s="45"/>
      <c r="R112" s="45"/>
      <c r="S112" s="45"/>
      <c r="T112" s="40"/>
      <c r="U112" s="40"/>
      <c r="V112" s="40">
        <f t="shared" si="76"/>
        <v>44</v>
      </c>
      <c r="W112" s="39">
        <f t="shared" si="77"/>
        <v>17.6</v>
      </c>
      <c r="X112" s="40"/>
      <c r="Y112" s="39">
        <f t="shared" si="78"/>
        <v>17.6</v>
      </c>
      <c r="Z112" s="40"/>
      <c r="AA112" s="39">
        <f t="shared" si="79"/>
        <v>0</v>
      </c>
      <c r="AB112" s="40"/>
      <c r="AC112" s="39">
        <f t="shared" si="80"/>
        <v>0</v>
      </c>
      <c r="AD112" s="40"/>
      <c r="AE112" s="39">
        <f t="shared" si="81"/>
        <v>96.5</v>
      </c>
      <c r="AF112" s="40"/>
      <c r="AG112" s="39">
        <f t="shared" si="82"/>
        <v>152</v>
      </c>
      <c r="AH112" s="40"/>
      <c r="AI112" s="39">
        <f t="shared" si="83"/>
        <v>0</v>
      </c>
      <c r="AJ112" s="40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</row>
    <row r="113" spans="17:90" ht="12.75">
      <c r="Q113" s="45"/>
      <c r="R113" s="45"/>
      <c r="S113" s="45"/>
      <c r="T113" s="40"/>
      <c r="U113" s="40"/>
      <c r="V113" s="40">
        <f t="shared" si="76"/>
        <v>45</v>
      </c>
      <c r="W113" s="39">
        <f t="shared" si="77"/>
        <v>17.6</v>
      </c>
      <c r="X113" s="40"/>
      <c r="Y113" s="39">
        <f t="shared" si="78"/>
        <v>17.6</v>
      </c>
      <c r="Z113" s="40"/>
      <c r="AA113" s="39">
        <f t="shared" si="79"/>
        <v>0</v>
      </c>
      <c r="AB113" s="40"/>
      <c r="AC113" s="39">
        <f t="shared" si="80"/>
        <v>0</v>
      </c>
      <c r="AD113" s="40"/>
      <c r="AE113" s="39">
        <f t="shared" si="81"/>
        <v>77</v>
      </c>
      <c r="AF113" s="40"/>
      <c r="AG113" s="39">
        <f t="shared" si="82"/>
        <v>102</v>
      </c>
      <c r="AH113" s="40"/>
      <c r="AI113" s="39">
        <f t="shared" si="83"/>
        <v>0</v>
      </c>
      <c r="AJ113" s="40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</row>
    <row r="114" spans="17:90" ht="12.75">
      <c r="Q114" s="45"/>
      <c r="R114" s="45"/>
      <c r="S114" s="45"/>
      <c r="T114" s="40"/>
      <c r="U114" s="40"/>
      <c r="V114" s="40">
        <f t="shared" si="76"/>
        <v>46</v>
      </c>
      <c r="W114" s="39">
        <f t="shared" si="77"/>
        <v>35.5</v>
      </c>
      <c r="X114" s="40"/>
      <c r="Y114" s="39">
        <f t="shared" si="78"/>
        <v>47.3</v>
      </c>
      <c r="Z114" s="40"/>
      <c r="AA114" s="39">
        <f t="shared" si="79"/>
        <v>0</v>
      </c>
      <c r="AB114" s="40"/>
      <c r="AC114" s="39">
        <f t="shared" si="80"/>
        <v>0</v>
      </c>
      <c r="AD114" s="40"/>
      <c r="AE114" s="39">
        <f t="shared" si="81"/>
        <v>77</v>
      </c>
      <c r="AF114" s="40"/>
      <c r="AG114" s="39">
        <f t="shared" si="82"/>
        <v>102</v>
      </c>
      <c r="AH114" s="40"/>
      <c r="AI114" s="39">
        <f t="shared" si="83"/>
        <v>0</v>
      </c>
      <c r="AJ114" s="40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</row>
    <row r="115" spans="17:90" ht="12.75">
      <c r="Q115" s="45"/>
      <c r="R115" s="45"/>
      <c r="S115" s="45"/>
      <c r="T115" s="40"/>
      <c r="U115" s="40"/>
      <c r="V115" s="40">
        <f t="shared" si="76"/>
        <v>47</v>
      </c>
      <c r="W115" s="39">
        <f t="shared" si="77"/>
        <v>35.5</v>
      </c>
      <c r="X115" s="40"/>
      <c r="Y115" s="39">
        <f t="shared" si="78"/>
        <v>47.3</v>
      </c>
      <c r="Z115" s="40"/>
      <c r="AA115" s="39">
        <f t="shared" si="79"/>
        <v>0</v>
      </c>
      <c r="AB115" s="40"/>
      <c r="AC115" s="39">
        <f t="shared" si="80"/>
        <v>0</v>
      </c>
      <c r="AD115" s="40"/>
      <c r="AE115" s="39">
        <f t="shared" si="81"/>
        <v>190</v>
      </c>
      <c r="AF115" s="40"/>
      <c r="AG115" s="39">
        <f t="shared" si="82"/>
        <v>300</v>
      </c>
      <c r="AH115" s="40"/>
      <c r="AI115" s="39">
        <f t="shared" si="83"/>
        <v>0</v>
      </c>
      <c r="AJ115" s="40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</row>
    <row r="116" spans="17:90" ht="12.75">
      <c r="Q116" s="45"/>
      <c r="R116" s="45"/>
      <c r="S116" s="45"/>
      <c r="T116" s="40"/>
      <c r="U116" s="40"/>
      <c r="V116" s="40">
        <f t="shared" si="76"/>
        <v>48</v>
      </c>
      <c r="W116" s="39">
        <f t="shared" si="77"/>
        <v>35.5</v>
      </c>
      <c r="X116" s="40"/>
      <c r="Y116" s="39">
        <f t="shared" si="78"/>
        <v>47.3</v>
      </c>
      <c r="Z116" s="40"/>
      <c r="AA116" s="39">
        <f t="shared" si="79"/>
        <v>0</v>
      </c>
      <c r="AB116" s="40"/>
      <c r="AC116" s="39">
        <f t="shared" si="80"/>
        <v>0</v>
      </c>
      <c r="AD116" s="40"/>
      <c r="AE116" s="39">
        <f t="shared" si="81"/>
        <v>190</v>
      </c>
      <c r="AF116" s="40"/>
      <c r="AG116" s="39">
        <f t="shared" si="82"/>
        <v>300</v>
      </c>
      <c r="AH116" s="40"/>
      <c r="AI116" s="39">
        <f t="shared" si="83"/>
        <v>0</v>
      </c>
      <c r="AJ116" s="40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</row>
    <row r="117" spans="17:90" ht="12.75">
      <c r="Q117" s="45"/>
      <c r="R117" s="45"/>
      <c r="S117" s="45"/>
      <c r="T117" s="40"/>
      <c r="U117" s="40"/>
      <c r="V117" s="40">
        <f t="shared" si="76"/>
        <v>49</v>
      </c>
      <c r="W117" s="39">
        <f t="shared" si="77"/>
        <v>35.5</v>
      </c>
      <c r="X117" s="40"/>
      <c r="Y117" s="39">
        <f t="shared" si="78"/>
        <v>47.3</v>
      </c>
      <c r="Z117" s="40"/>
      <c r="AA117" s="39">
        <f t="shared" si="79"/>
        <v>0</v>
      </c>
      <c r="AB117" s="40"/>
      <c r="AC117" s="39">
        <f t="shared" si="80"/>
        <v>0</v>
      </c>
      <c r="AD117" s="40"/>
      <c r="AE117" s="39">
        <f t="shared" si="81"/>
        <v>190</v>
      </c>
      <c r="AF117" s="40"/>
      <c r="AG117" s="39">
        <f t="shared" si="82"/>
        <v>300</v>
      </c>
      <c r="AH117" s="40"/>
      <c r="AI117" s="39">
        <f t="shared" si="83"/>
        <v>0</v>
      </c>
      <c r="AJ117" s="40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</row>
    <row r="118" spans="17:90" ht="12.75">
      <c r="Q118" s="45"/>
      <c r="R118" s="45"/>
      <c r="S118" s="45"/>
      <c r="T118" s="40"/>
      <c r="U118" s="40"/>
      <c r="V118" s="40">
        <f t="shared" si="76"/>
        <v>50</v>
      </c>
      <c r="W118" s="39">
        <f t="shared" si="77"/>
        <v>35.5</v>
      </c>
      <c r="X118" s="40"/>
      <c r="Y118" s="39">
        <f t="shared" si="78"/>
        <v>47.3</v>
      </c>
      <c r="Z118" s="40"/>
      <c r="AA118" s="39">
        <f t="shared" si="79"/>
        <v>0</v>
      </c>
      <c r="AB118" s="40"/>
      <c r="AC118" s="39">
        <f t="shared" si="80"/>
        <v>0</v>
      </c>
      <c r="AD118" s="40"/>
      <c r="AE118" s="39">
        <f t="shared" si="81"/>
        <v>190</v>
      </c>
      <c r="AF118" s="40"/>
      <c r="AG118" s="39">
        <f t="shared" si="82"/>
        <v>300</v>
      </c>
      <c r="AH118" s="40"/>
      <c r="AI118" s="39">
        <f t="shared" si="83"/>
        <v>0</v>
      </c>
      <c r="AJ118" s="40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</row>
    <row r="119" spans="17:90" ht="12.75">
      <c r="Q119" s="45"/>
      <c r="R119" s="45"/>
      <c r="S119" s="45"/>
      <c r="T119" s="40"/>
      <c r="U119" s="40"/>
      <c r="V119" s="40">
        <f t="shared" si="76"/>
        <v>51</v>
      </c>
      <c r="W119" s="39">
        <f t="shared" si="77"/>
        <v>35.5</v>
      </c>
      <c r="X119" s="40"/>
      <c r="Y119" s="39">
        <f t="shared" si="78"/>
        <v>47.3</v>
      </c>
      <c r="Z119" s="40"/>
      <c r="AA119" s="39">
        <f t="shared" si="79"/>
        <v>0</v>
      </c>
      <c r="AB119" s="40"/>
      <c r="AC119" s="39">
        <f t="shared" si="80"/>
        <v>0</v>
      </c>
      <c r="AD119" s="40"/>
      <c r="AE119" s="39">
        <f t="shared" si="81"/>
        <v>190</v>
      </c>
      <c r="AF119" s="40"/>
      <c r="AG119" s="39">
        <f t="shared" si="82"/>
        <v>300</v>
      </c>
      <c r="AH119" s="40"/>
      <c r="AI119" s="39">
        <f t="shared" si="83"/>
        <v>0</v>
      </c>
      <c r="AJ119" s="40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</row>
    <row r="120" spans="17:90" ht="13.5" thickBot="1">
      <c r="Q120" s="45"/>
      <c r="R120" s="45"/>
      <c r="S120" s="45"/>
      <c r="T120" s="40"/>
      <c r="U120" s="40"/>
      <c r="V120" s="40"/>
      <c r="W120" s="170" t="str">
        <f>W95</f>
        <v>Low NOx</v>
      </c>
      <c r="X120" s="170"/>
      <c r="Y120" s="170" t="str">
        <f>Y95</f>
        <v>Low NOx</v>
      </c>
      <c r="Z120" s="170"/>
      <c r="AA120" s="170">
        <f>AA95</f>
        <v>0</v>
      </c>
      <c r="AB120" s="170"/>
      <c r="AC120" s="170">
        <f>AC95</f>
        <v>0</v>
      </c>
      <c r="AD120" s="170"/>
      <c r="AE120" s="170" t="str">
        <f>AE95</f>
        <v>P15AB</v>
      </c>
      <c r="AF120" s="170"/>
      <c r="AG120" s="170" t="str">
        <f>AG95</f>
        <v>P25AB</v>
      </c>
      <c r="AH120" s="170"/>
      <c r="AI120" s="170"/>
      <c r="AJ120" s="170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</row>
    <row r="121" spans="17:90" ht="13.5" thickBot="1">
      <c r="Q121" s="45"/>
      <c r="R121" s="45"/>
      <c r="S121" s="45"/>
      <c r="T121" s="40"/>
      <c r="U121" s="40"/>
      <c r="V121" s="46">
        <f>IF(T70=0,0,HLOOKUP($T$70,$W$69:$BR$121,53))</f>
        <v>0</v>
      </c>
      <c r="W121" s="45" t="str">
        <f>IF($R$69=FALSE,W122,W120)</f>
        <v>N/D</v>
      </c>
      <c r="X121" s="50"/>
      <c r="Y121" s="45" t="str">
        <f>IF($R$69=FALSE,Y122,Y120)</f>
        <v>N/D</v>
      </c>
      <c r="Z121" s="50"/>
      <c r="AA121" s="45" t="str">
        <f>IF($R$69=FALSE,AA122,AA120)</f>
        <v>N/D</v>
      </c>
      <c r="AB121" s="50"/>
      <c r="AC121" s="45" t="str">
        <f>IF($R$69=FALSE,AC122,AC120)</f>
        <v>N/D</v>
      </c>
      <c r="AD121" s="50"/>
      <c r="AE121" s="45" t="str">
        <f>IF($R$69=FALSE,AE122,AE120)</f>
        <v>N/D</v>
      </c>
      <c r="AF121" s="50"/>
      <c r="AG121" s="45" t="str">
        <f>IF($R$69=FALSE,AG122,AG120)</f>
        <v>N/D</v>
      </c>
      <c r="AH121" s="50"/>
      <c r="AI121" s="45" t="str">
        <f>IF($R$69=FALSE,AI122,AI120)</f>
        <v>N/D</v>
      </c>
      <c r="AJ121" s="50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</row>
    <row r="122" spans="17:90" ht="12.75">
      <c r="Q122" s="45"/>
      <c r="R122" s="45"/>
      <c r="S122" s="45"/>
      <c r="T122" s="40"/>
      <c r="U122" s="40"/>
      <c r="V122" s="40"/>
      <c r="W122" s="40" t="s">
        <v>77</v>
      </c>
      <c r="X122" s="40"/>
      <c r="Y122" s="40" t="s">
        <v>77</v>
      </c>
      <c r="Z122" s="40"/>
      <c r="AA122" s="40" t="s">
        <v>77</v>
      </c>
      <c r="AB122" s="40"/>
      <c r="AC122" s="40" t="s">
        <v>77</v>
      </c>
      <c r="AD122" s="40"/>
      <c r="AE122" s="40" t="s">
        <v>77</v>
      </c>
      <c r="AF122" s="40"/>
      <c r="AG122" s="40" t="s">
        <v>77</v>
      </c>
      <c r="AH122" s="40"/>
      <c r="AI122" s="40" t="s">
        <v>77</v>
      </c>
      <c r="AJ122" s="40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</row>
    <row r="123" spans="17:90" ht="12.75">
      <c r="Q123" s="45"/>
      <c r="R123" s="45"/>
      <c r="S123" s="45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</row>
    <row r="124" spans="17:90" ht="12.75">
      <c r="Q124" s="7"/>
      <c r="R124" s="7"/>
      <c r="S124" s="7"/>
      <c r="T124" s="18"/>
      <c r="U124" s="18"/>
      <c r="V124" s="51"/>
      <c r="W124" s="51"/>
      <c r="X124" s="37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9"/>
      <c r="BH124" s="79"/>
      <c r="BI124" s="79"/>
      <c r="BJ124" s="79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</row>
    <row r="125" spans="17:90" ht="12.75">
      <c r="Q125" s="7"/>
      <c r="R125" s="7"/>
      <c r="S125" s="7"/>
      <c r="T125" s="18"/>
      <c r="U125" s="18"/>
      <c r="V125" s="51"/>
      <c r="W125" s="51"/>
      <c r="X125" s="37"/>
      <c r="Y125" s="79"/>
      <c r="Z125" s="79"/>
      <c r="AA125" s="79"/>
      <c r="AB125" s="79"/>
      <c r="AC125" s="79"/>
      <c r="AD125" s="79"/>
      <c r="AE125" s="79"/>
      <c r="AF125" s="79"/>
      <c r="AG125" s="79"/>
      <c r="AH125" s="79"/>
      <c r="AI125" s="79"/>
      <c r="AJ125" s="79"/>
      <c r="AK125" s="79"/>
      <c r="AL125" s="79"/>
      <c r="AM125" s="79"/>
      <c r="AN125" s="79"/>
      <c r="AO125" s="79"/>
      <c r="AP125" s="79"/>
      <c r="AQ125" s="79"/>
      <c r="AR125" s="79"/>
      <c r="AS125" s="79"/>
      <c r="AT125" s="79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</row>
    <row r="126" spans="17:90" ht="12.75">
      <c r="Q126" s="7"/>
      <c r="R126" s="7"/>
      <c r="S126" s="7"/>
      <c r="T126" s="18"/>
      <c r="U126" s="18"/>
      <c r="V126" s="51"/>
      <c r="W126" s="51"/>
      <c r="X126" s="37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  <c r="AJ126" s="79"/>
      <c r="AK126" s="79"/>
      <c r="AL126" s="79"/>
      <c r="AM126" s="79"/>
      <c r="AN126" s="79"/>
      <c r="AO126" s="79"/>
      <c r="AP126" s="79"/>
      <c r="AQ126" s="79"/>
      <c r="AR126" s="79"/>
      <c r="AS126" s="79"/>
      <c r="AT126" s="79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</row>
    <row r="127" spans="17:90" ht="12.75">
      <c r="Q127" s="7"/>
      <c r="R127" s="7"/>
      <c r="S127" s="7"/>
      <c r="T127" s="18"/>
      <c r="U127" s="18"/>
      <c r="V127" s="51"/>
      <c r="W127" s="51"/>
      <c r="X127" s="37"/>
      <c r="Y127" s="79"/>
      <c r="Z127" s="79"/>
      <c r="AA127" s="79"/>
      <c r="AB127" s="79"/>
      <c r="AC127" s="79"/>
      <c r="AD127" s="79"/>
      <c r="AE127" s="79"/>
      <c r="AF127" s="79"/>
      <c r="AG127" s="79"/>
      <c r="AH127" s="79"/>
      <c r="AI127" s="79"/>
      <c r="AJ127" s="79"/>
      <c r="AK127" s="79"/>
      <c r="AL127" s="79"/>
      <c r="AM127" s="79"/>
      <c r="AN127" s="79"/>
      <c r="AO127" s="79"/>
      <c r="AP127" s="79"/>
      <c r="AQ127" s="79"/>
      <c r="AR127" s="79"/>
      <c r="AS127" s="79"/>
      <c r="AT127" s="79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</row>
    <row r="128" spans="17:90" ht="12.75">
      <c r="Q128" s="7"/>
      <c r="R128" s="7"/>
      <c r="S128" s="7"/>
      <c r="T128" s="18"/>
      <c r="U128" s="18"/>
      <c r="V128" s="51"/>
      <c r="W128" s="51"/>
      <c r="X128" s="37"/>
      <c r="Y128" s="79"/>
      <c r="Z128" s="79"/>
      <c r="AA128" s="79"/>
      <c r="AB128" s="79"/>
      <c r="AC128" s="79"/>
      <c r="AD128" s="79"/>
      <c r="AE128" s="79"/>
      <c r="AF128" s="79"/>
      <c r="AG128" s="79"/>
      <c r="AH128" s="79"/>
      <c r="AI128" s="79"/>
      <c r="AJ128" s="79"/>
      <c r="AK128" s="79"/>
      <c r="AL128" s="79"/>
      <c r="AM128" s="79"/>
      <c r="AN128" s="79"/>
      <c r="AO128" s="79"/>
      <c r="AP128" s="79"/>
      <c r="AQ128" s="79"/>
      <c r="AR128" s="79"/>
      <c r="AS128" s="79"/>
      <c r="AT128" s="79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</row>
    <row r="129" spans="17:90" ht="12.75">
      <c r="Q129" s="7"/>
      <c r="R129" s="7"/>
      <c r="S129" s="7"/>
      <c r="T129" s="18"/>
      <c r="U129" s="18"/>
      <c r="V129" s="51"/>
      <c r="W129" s="51"/>
      <c r="X129" s="37"/>
      <c r="Y129" s="79"/>
      <c r="Z129" s="79"/>
      <c r="AA129" s="79"/>
      <c r="AB129" s="79"/>
      <c r="AC129" s="79"/>
      <c r="AD129" s="79"/>
      <c r="AE129" s="79"/>
      <c r="AF129" s="79"/>
      <c r="AG129" s="79"/>
      <c r="AH129" s="79"/>
      <c r="AI129" s="79"/>
      <c r="AJ129" s="79"/>
      <c r="AK129" s="79"/>
      <c r="AL129" s="79"/>
      <c r="AM129" s="79"/>
      <c r="AN129" s="79"/>
      <c r="AO129" s="79"/>
      <c r="AP129" s="79"/>
      <c r="AQ129" s="79"/>
      <c r="AR129" s="79"/>
      <c r="AS129" s="79"/>
      <c r="AT129" s="79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</row>
    <row r="130" spans="17:90" ht="12.75">
      <c r="Q130" s="7"/>
      <c r="R130" s="7"/>
      <c r="S130" s="7"/>
      <c r="T130" s="18"/>
      <c r="U130" s="18"/>
      <c r="V130" s="51"/>
      <c r="W130" s="51"/>
      <c r="X130" s="37"/>
      <c r="Y130" s="79"/>
      <c r="Z130" s="79"/>
      <c r="AA130" s="79"/>
      <c r="AB130" s="79"/>
      <c r="AC130" s="79"/>
      <c r="AD130" s="79"/>
      <c r="AE130" s="79"/>
      <c r="AF130" s="79"/>
      <c r="AG130" s="79"/>
      <c r="AH130" s="79"/>
      <c r="AI130" s="79"/>
      <c r="AJ130" s="79"/>
      <c r="AK130" s="79"/>
      <c r="AL130" s="79"/>
      <c r="AM130" s="79"/>
      <c r="AN130" s="79"/>
      <c r="AO130" s="79"/>
      <c r="AP130" s="79"/>
      <c r="AQ130" s="79"/>
      <c r="AR130" s="79"/>
      <c r="AS130" s="79"/>
      <c r="AT130" s="79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</row>
    <row r="131" spans="17:90" ht="12.75">
      <c r="Q131" s="7"/>
      <c r="R131" s="7"/>
      <c r="S131" s="7"/>
      <c r="T131" s="18"/>
      <c r="U131" s="18"/>
      <c r="V131" s="51"/>
      <c r="W131" s="51"/>
      <c r="X131" s="37"/>
      <c r="Y131" s="79"/>
      <c r="Z131" s="79"/>
      <c r="AA131" s="79"/>
      <c r="AB131" s="79"/>
      <c r="AC131" s="79"/>
      <c r="AD131" s="79"/>
      <c r="AE131" s="79"/>
      <c r="AF131" s="79"/>
      <c r="AG131" s="79"/>
      <c r="AH131" s="79"/>
      <c r="AI131" s="79"/>
      <c r="AJ131" s="79"/>
      <c r="AK131" s="79"/>
      <c r="AL131" s="79"/>
      <c r="AM131" s="79"/>
      <c r="AN131" s="79"/>
      <c r="AO131" s="79"/>
      <c r="AP131" s="79"/>
      <c r="AQ131" s="79"/>
      <c r="AR131" s="79"/>
      <c r="AS131" s="79"/>
      <c r="AT131" s="79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</row>
    <row r="132" spans="17:90" ht="12.75">
      <c r="Q132" s="7"/>
      <c r="R132" s="7"/>
      <c r="S132" s="7"/>
      <c r="T132" s="18"/>
      <c r="U132" s="18"/>
      <c r="V132" s="51"/>
      <c r="W132" s="51"/>
      <c r="X132" s="37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  <c r="AJ132" s="79"/>
      <c r="AK132" s="79"/>
      <c r="AL132" s="79"/>
      <c r="AM132" s="79"/>
      <c r="AN132" s="79"/>
      <c r="AO132" s="79"/>
      <c r="AP132" s="79"/>
      <c r="AQ132" s="79"/>
      <c r="AR132" s="79"/>
      <c r="AS132" s="79"/>
      <c r="AT132" s="79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</row>
    <row r="133" spans="17:90" ht="12.75">
      <c r="Q133" s="7"/>
      <c r="R133" s="7"/>
      <c r="S133" s="7"/>
      <c r="T133" s="18"/>
      <c r="U133" s="18"/>
      <c r="V133" s="51"/>
      <c r="W133" s="51"/>
      <c r="X133" s="37"/>
      <c r="Y133" s="79"/>
      <c r="Z133" s="79"/>
      <c r="AA133" s="79"/>
      <c r="AB133" s="79"/>
      <c r="AC133" s="79"/>
      <c r="AD133" s="79"/>
      <c r="AE133" s="79"/>
      <c r="AF133" s="79"/>
      <c r="AG133" s="79"/>
      <c r="AH133" s="79"/>
      <c r="AI133" s="79"/>
      <c r="AJ133" s="79"/>
      <c r="AK133" s="79"/>
      <c r="AL133" s="79"/>
      <c r="AM133" s="79"/>
      <c r="AN133" s="79"/>
      <c r="AO133" s="79"/>
      <c r="AP133" s="79"/>
      <c r="AQ133" s="79"/>
      <c r="AR133" s="79"/>
      <c r="AS133" s="79"/>
      <c r="AT133" s="79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</row>
    <row r="134" spans="17:90" ht="12.75">
      <c r="Q134" s="7"/>
      <c r="R134" s="7"/>
      <c r="S134" s="7"/>
      <c r="T134" s="18"/>
      <c r="U134" s="18"/>
      <c r="V134" s="51"/>
      <c r="W134" s="51"/>
      <c r="X134" s="37"/>
      <c r="Y134" s="79"/>
      <c r="Z134" s="79"/>
      <c r="AA134" s="79"/>
      <c r="AB134" s="79"/>
      <c r="AC134" s="79"/>
      <c r="AD134" s="79"/>
      <c r="AE134" s="79"/>
      <c r="AF134" s="79"/>
      <c r="AG134" s="79"/>
      <c r="AH134" s="79"/>
      <c r="AI134" s="79"/>
      <c r="AJ134" s="79"/>
      <c r="AK134" s="79"/>
      <c r="AL134" s="79"/>
      <c r="AM134" s="79"/>
      <c r="AN134" s="79"/>
      <c r="AO134" s="79"/>
      <c r="AP134" s="79"/>
      <c r="AQ134" s="79"/>
      <c r="AR134" s="79"/>
      <c r="AS134" s="79"/>
      <c r="AT134" s="79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</row>
    <row r="135" spans="17:90" ht="12.75">
      <c r="Q135" s="7"/>
      <c r="R135" s="7"/>
      <c r="S135" s="7"/>
      <c r="T135" s="18"/>
      <c r="U135" s="18"/>
      <c r="V135" s="51"/>
      <c r="W135" s="51"/>
      <c r="X135" s="37"/>
      <c r="Y135" s="79"/>
      <c r="Z135" s="79"/>
      <c r="AA135" s="79"/>
      <c r="AB135" s="79"/>
      <c r="AC135" s="79"/>
      <c r="AD135" s="79"/>
      <c r="AE135" s="79"/>
      <c r="AF135" s="79"/>
      <c r="AG135" s="79"/>
      <c r="AH135" s="79"/>
      <c r="AI135" s="79"/>
      <c r="AJ135" s="79"/>
      <c r="AK135" s="79"/>
      <c r="AL135" s="79"/>
      <c r="AM135" s="79"/>
      <c r="AN135" s="79"/>
      <c r="AO135" s="79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</row>
    <row r="136" spans="17:90" ht="12.75">
      <c r="Q136" s="7"/>
      <c r="R136" s="7"/>
      <c r="S136" s="7"/>
      <c r="T136" s="18"/>
      <c r="U136" s="18"/>
      <c r="V136" s="51"/>
      <c r="W136" s="51"/>
      <c r="X136" s="37"/>
      <c r="Y136" s="79"/>
      <c r="Z136" s="79"/>
      <c r="AA136" s="79"/>
      <c r="AB136" s="79"/>
      <c r="AC136" s="79"/>
      <c r="AD136" s="79"/>
      <c r="AE136" s="79"/>
      <c r="AF136" s="79"/>
      <c r="AG136" s="79"/>
      <c r="AH136" s="79"/>
      <c r="AI136" s="79"/>
      <c r="AJ136" s="79"/>
      <c r="AK136" s="79"/>
      <c r="AL136" s="79"/>
      <c r="AM136" s="79"/>
      <c r="AN136" s="79"/>
      <c r="AO136" s="79"/>
      <c r="AP136" s="79"/>
      <c r="AQ136" s="79"/>
      <c r="AR136" s="79"/>
      <c r="AS136" s="79"/>
      <c r="AT136" s="79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</row>
    <row r="137" spans="17:90" ht="12.75">
      <c r="Q137" s="7"/>
      <c r="R137" s="7"/>
      <c r="S137" s="7"/>
      <c r="T137" s="18"/>
      <c r="U137" s="18"/>
      <c r="V137" s="51"/>
      <c r="W137" s="51"/>
      <c r="X137" s="37"/>
      <c r="Y137" s="37"/>
      <c r="Z137" s="3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</row>
    <row r="138" spans="17:90" ht="12.75">
      <c r="Q138" s="7"/>
      <c r="R138" s="7"/>
      <c r="S138" s="7"/>
      <c r="T138" s="18"/>
      <c r="U138" s="18"/>
      <c r="V138" s="51"/>
      <c r="W138" s="51"/>
      <c r="X138" s="37"/>
      <c r="Y138" s="37"/>
      <c r="Z138" s="3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</row>
    <row r="139" spans="17:90" ht="12.75">
      <c r="Q139" s="7"/>
      <c r="R139" s="45"/>
      <c r="S139" s="7"/>
      <c r="T139" s="40"/>
      <c r="U139" s="40"/>
      <c r="V139" s="56"/>
      <c r="W139" s="56"/>
      <c r="X139" s="53"/>
      <c r="Y139" s="53"/>
      <c r="Z139" s="53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</row>
    <row r="140" spans="17:90" ht="12.75">
      <c r="Q140" s="7"/>
      <c r="R140" s="45"/>
      <c r="S140" s="7"/>
      <c r="T140" s="40"/>
      <c r="U140" s="40"/>
      <c r="V140" s="45"/>
      <c r="W140" s="45"/>
      <c r="X140" s="53"/>
      <c r="Y140" s="53"/>
      <c r="Z140" s="53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</row>
    <row r="141" spans="17:90" ht="13.5" thickBot="1">
      <c r="Q141" s="7"/>
      <c r="R141" s="45"/>
      <c r="S141" s="7"/>
      <c r="T141" s="40"/>
      <c r="U141" s="40"/>
      <c r="V141" s="45"/>
      <c r="W141" s="45"/>
      <c r="X141" s="53"/>
      <c r="Y141" s="53"/>
      <c r="Z141" s="53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</row>
    <row r="142" spans="17:90" ht="13.5" thickBot="1">
      <c r="Q142" s="7"/>
      <c r="R142" s="45"/>
      <c r="S142" s="7"/>
      <c r="T142" s="45"/>
      <c r="U142" s="45"/>
      <c r="V142" s="45"/>
      <c r="W142" s="179" t="s">
        <v>40</v>
      </c>
      <c r="X142" s="180"/>
      <c r="Y142" s="181"/>
      <c r="Z142" s="45"/>
      <c r="AA142" s="45"/>
      <c r="AB142" s="45"/>
      <c r="AC142" s="45"/>
      <c r="AD142" s="45"/>
      <c r="AE142" s="86"/>
      <c r="AF142" s="86"/>
      <c r="AG142" s="86"/>
      <c r="AH142" s="86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</row>
    <row r="143" spans="17:90" ht="13.5" thickBot="1">
      <c r="Q143" s="7"/>
      <c r="R143" s="46" t="b">
        <v>0</v>
      </c>
      <c r="S143" s="7"/>
      <c r="T143" s="45"/>
      <c r="U143" s="45"/>
      <c r="V143" s="45"/>
      <c r="W143" s="45">
        <v>1</v>
      </c>
      <c r="X143" s="45"/>
      <c r="Y143" s="45">
        <v>2</v>
      </c>
      <c r="Z143" s="46"/>
      <c r="AA143" s="45">
        <v>3</v>
      </c>
      <c r="AB143" s="45"/>
      <c r="AC143" s="45">
        <v>4</v>
      </c>
      <c r="AD143" s="45"/>
      <c r="AE143" s="45">
        <v>5</v>
      </c>
      <c r="AF143" s="45"/>
      <c r="AG143" s="45">
        <v>6</v>
      </c>
      <c r="AH143" s="46"/>
      <c r="AI143" s="45">
        <v>7</v>
      </c>
      <c r="AJ143" s="45"/>
      <c r="AK143" s="45">
        <v>8</v>
      </c>
      <c r="AL143" s="45"/>
      <c r="AM143" s="45">
        <v>9</v>
      </c>
      <c r="AN143" s="40"/>
      <c r="AO143" s="45">
        <v>10</v>
      </c>
      <c r="AP143" s="46"/>
      <c r="AQ143" s="45">
        <v>11</v>
      </c>
      <c r="AR143" s="40"/>
      <c r="AS143" s="40">
        <v>12</v>
      </c>
      <c r="AT143" s="40"/>
      <c r="AU143" s="40">
        <v>13</v>
      </c>
      <c r="AV143" s="40"/>
      <c r="AW143" s="45">
        <v>14</v>
      </c>
      <c r="AX143" s="45"/>
      <c r="AY143" s="45">
        <v>15</v>
      </c>
      <c r="AZ143" s="45"/>
      <c r="BA143" s="45">
        <v>16</v>
      </c>
      <c r="BB143" s="45"/>
      <c r="BC143" s="45">
        <v>17</v>
      </c>
      <c r="BD143" s="45"/>
      <c r="BE143" s="45">
        <v>18</v>
      </c>
      <c r="BF143" s="45"/>
      <c r="BG143" s="45">
        <v>19</v>
      </c>
      <c r="BH143" s="45"/>
      <c r="BI143" s="45">
        <v>20</v>
      </c>
      <c r="BJ143" s="45"/>
      <c r="BK143" s="45">
        <v>21</v>
      </c>
      <c r="BL143" s="45"/>
      <c r="BM143" s="45">
        <v>22</v>
      </c>
      <c r="BN143" s="45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</row>
    <row r="144" spans="17:90" ht="13.5" thickBot="1">
      <c r="Q144" s="7"/>
      <c r="R144" s="45"/>
      <c r="S144" s="7"/>
      <c r="T144" s="46" t="str">
        <f>IF(R143=FALSE,U108,T145)</f>
        <v>MAIOR P 1500.1</v>
      </c>
      <c r="U144" s="167" t="e">
        <f>HLOOKUP(T144,W143:BN168,2)</f>
        <v>#N/A</v>
      </c>
      <c r="V144" s="167"/>
      <c r="W144" s="168" t="s">
        <v>109</v>
      </c>
      <c r="X144" s="169"/>
      <c r="Y144" s="166" t="s">
        <v>110</v>
      </c>
      <c r="Z144" s="178"/>
      <c r="AA144" s="166" t="s">
        <v>141</v>
      </c>
      <c r="AB144" s="178"/>
      <c r="AC144" s="166" t="s">
        <v>69</v>
      </c>
      <c r="AD144" s="178"/>
      <c r="AE144" s="182" t="s">
        <v>200</v>
      </c>
      <c r="AF144" s="166"/>
      <c r="AG144" s="182" t="s">
        <v>201</v>
      </c>
      <c r="AH144" s="166"/>
      <c r="AI144" s="166" t="s">
        <v>29</v>
      </c>
      <c r="AJ144" s="168"/>
      <c r="AK144" s="158" t="s">
        <v>30</v>
      </c>
      <c r="AL144" s="159"/>
      <c r="AM144" s="169" t="s">
        <v>31</v>
      </c>
      <c r="AN144" s="166"/>
      <c r="AO144" s="169" t="s">
        <v>32</v>
      </c>
      <c r="AP144" s="166"/>
      <c r="AQ144" s="169" t="s">
        <v>33</v>
      </c>
      <c r="AR144" s="166"/>
      <c r="AS144" s="166" t="s">
        <v>70</v>
      </c>
      <c r="AT144" s="178"/>
      <c r="AU144" s="166" t="s">
        <v>71</v>
      </c>
      <c r="AV144" s="166"/>
      <c r="AW144" s="166" t="s">
        <v>34</v>
      </c>
      <c r="AX144" s="166"/>
      <c r="AY144" s="166" t="s">
        <v>35</v>
      </c>
      <c r="AZ144" s="166"/>
      <c r="BA144" s="166" t="s">
        <v>36</v>
      </c>
      <c r="BB144" s="166"/>
      <c r="BC144" s="166" t="s">
        <v>37</v>
      </c>
      <c r="BD144" s="166"/>
      <c r="BE144" s="166" t="s">
        <v>38</v>
      </c>
      <c r="BF144" s="166"/>
      <c r="BG144" s="166" t="s">
        <v>39</v>
      </c>
      <c r="BH144" s="166"/>
      <c r="BI144" s="166" t="s">
        <v>95</v>
      </c>
      <c r="BJ144" s="166"/>
      <c r="BK144" s="61"/>
      <c r="BL144" s="61"/>
      <c r="BM144" s="61"/>
      <c r="BN144" s="61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</row>
    <row r="145" spans="17:90" ht="13.5" thickBot="1">
      <c r="Q145" s="7"/>
      <c r="R145" s="45"/>
      <c r="S145" s="7"/>
      <c r="T145" s="45">
        <v>10</v>
      </c>
      <c r="U145" s="47" t="s">
        <v>5</v>
      </c>
      <c r="V145" s="47" t="s">
        <v>6</v>
      </c>
      <c r="W145" s="30" t="s">
        <v>5</v>
      </c>
      <c r="X145" s="30" t="s">
        <v>3</v>
      </c>
      <c r="Y145" s="30" t="s">
        <v>5</v>
      </c>
      <c r="Z145" s="30" t="s">
        <v>3</v>
      </c>
      <c r="AA145" s="30" t="s">
        <v>5</v>
      </c>
      <c r="AB145" s="30" t="s">
        <v>3</v>
      </c>
      <c r="AC145" s="30" t="s">
        <v>5</v>
      </c>
      <c r="AD145" s="30" t="s">
        <v>3</v>
      </c>
      <c r="AE145" s="30" t="s">
        <v>5</v>
      </c>
      <c r="AF145" s="30" t="s">
        <v>3</v>
      </c>
      <c r="AG145" s="30" t="s">
        <v>5</v>
      </c>
      <c r="AH145" s="30" t="s">
        <v>3</v>
      </c>
      <c r="AI145" s="41" t="s">
        <v>5</v>
      </c>
      <c r="AJ145" s="52" t="s">
        <v>3</v>
      </c>
      <c r="AK145" s="35" t="s">
        <v>5</v>
      </c>
      <c r="AL145" s="36" t="s">
        <v>3</v>
      </c>
      <c r="AM145" s="31" t="s">
        <v>5</v>
      </c>
      <c r="AN145" s="30" t="s">
        <v>3</v>
      </c>
      <c r="AO145" s="30" t="s">
        <v>5</v>
      </c>
      <c r="AP145" s="30" t="s">
        <v>3</v>
      </c>
      <c r="AQ145" s="30" t="s">
        <v>5</v>
      </c>
      <c r="AR145" s="30" t="s">
        <v>3</v>
      </c>
      <c r="AS145" s="30" t="s">
        <v>5</v>
      </c>
      <c r="AT145" s="30" t="s">
        <v>3</v>
      </c>
      <c r="AU145" s="30" t="s">
        <v>5</v>
      </c>
      <c r="AV145" s="30" t="s">
        <v>3</v>
      </c>
      <c r="AW145" s="30" t="s">
        <v>5</v>
      </c>
      <c r="AX145" s="30" t="s">
        <v>3</v>
      </c>
      <c r="AY145" s="30" t="s">
        <v>5</v>
      </c>
      <c r="AZ145" s="30" t="s">
        <v>3</v>
      </c>
      <c r="BA145" s="30" t="s">
        <v>5</v>
      </c>
      <c r="BB145" s="30" t="s">
        <v>3</v>
      </c>
      <c r="BC145" s="30" t="s">
        <v>5</v>
      </c>
      <c r="BD145" s="30" t="s">
        <v>3</v>
      </c>
      <c r="BE145" s="30" t="s">
        <v>5</v>
      </c>
      <c r="BF145" s="30" t="s">
        <v>3</v>
      </c>
      <c r="BG145" s="30" t="s">
        <v>5</v>
      </c>
      <c r="BH145" s="30" t="s">
        <v>3</v>
      </c>
      <c r="BI145" s="30" t="s">
        <v>5</v>
      </c>
      <c r="BJ145" s="30" t="s">
        <v>3</v>
      </c>
      <c r="BK145" s="65"/>
      <c r="BL145" s="65"/>
      <c r="BM145" s="65"/>
      <c r="BN145" s="65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</row>
    <row r="146" spans="17:90" ht="13.5" thickBot="1">
      <c r="Q146" s="7"/>
      <c r="R146" s="7"/>
      <c r="S146" s="7"/>
      <c r="T146" s="45"/>
      <c r="U146" s="33" t="e">
        <f>HLOOKUP($T$144,$W$143:$BN$169,4)</f>
        <v>#N/A</v>
      </c>
      <c r="V146" s="33" t="e">
        <f>HLOOKUP($T$144,$W$143:$BN$169,16)*T2</f>
        <v>#N/A</v>
      </c>
      <c r="W146" s="30">
        <v>0</v>
      </c>
      <c r="X146" s="30">
        <v>136.4</v>
      </c>
      <c r="Y146" s="30">
        <v>0</v>
      </c>
      <c r="Z146" s="30">
        <v>227</v>
      </c>
      <c r="AA146" s="30">
        <v>0</v>
      </c>
      <c r="AB146" s="30">
        <v>175</v>
      </c>
      <c r="AC146" s="30">
        <v>0</v>
      </c>
      <c r="AD146" s="30">
        <v>237</v>
      </c>
      <c r="AE146" s="30">
        <v>0</v>
      </c>
      <c r="AF146" s="30">
        <v>410</v>
      </c>
      <c r="AG146" s="30">
        <v>0</v>
      </c>
      <c r="AH146" s="30">
        <v>570</v>
      </c>
      <c r="AI146" s="30">
        <v>0</v>
      </c>
      <c r="AJ146" s="32">
        <v>930</v>
      </c>
      <c r="AK146" s="33">
        <v>0</v>
      </c>
      <c r="AL146" s="34">
        <v>1395</v>
      </c>
      <c r="AM146" s="35">
        <v>0</v>
      </c>
      <c r="AN146" s="36">
        <v>1650</v>
      </c>
      <c r="AO146" s="31">
        <v>0</v>
      </c>
      <c r="AP146" s="30">
        <v>2034</v>
      </c>
      <c r="AQ146" s="30">
        <v>0</v>
      </c>
      <c r="AR146" s="30">
        <v>3000</v>
      </c>
      <c r="AS146" s="30">
        <v>0</v>
      </c>
      <c r="AT146" s="30">
        <v>3900</v>
      </c>
      <c r="AU146" s="30">
        <v>0</v>
      </c>
      <c r="AV146" s="30">
        <v>5000</v>
      </c>
      <c r="AW146" s="30">
        <v>0</v>
      </c>
      <c r="AX146" s="30">
        <v>5750</v>
      </c>
      <c r="AY146" s="30">
        <v>0</v>
      </c>
      <c r="AZ146" s="30">
        <v>7500</v>
      </c>
      <c r="BA146" s="30">
        <v>0</v>
      </c>
      <c r="BB146" s="30">
        <v>8500</v>
      </c>
      <c r="BC146" s="30">
        <v>0</v>
      </c>
      <c r="BD146" s="30">
        <v>10500</v>
      </c>
      <c r="BE146" s="30">
        <v>0</v>
      </c>
      <c r="BF146" s="30">
        <v>13100</v>
      </c>
      <c r="BG146" s="30">
        <v>0</v>
      </c>
      <c r="BH146" s="30">
        <v>15000</v>
      </c>
      <c r="BI146" s="30">
        <v>0</v>
      </c>
      <c r="BJ146" s="30">
        <v>17000</v>
      </c>
      <c r="BK146" s="65"/>
      <c r="BL146" s="65"/>
      <c r="BM146" s="65"/>
      <c r="BN146" s="65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</row>
    <row r="147" spans="16:90" ht="13.5" thickBot="1">
      <c r="P147" s="44"/>
      <c r="Q147" s="45"/>
      <c r="R147" s="45"/>
      <c r="S147" s="45"/>
      <c r="T147" s="45"/>
      <c r="U147" s="33" t="e">
        <f>HLOOKUP($T$144,$W$143:$BN$169,5)</f>
        <v>#N/A</v>
      </c>
      <c r="V147" s="33" t="e">
        <f>HLOOKUP($T$144,$W$143:$BN$169,17)*T2</f>
        <v>#N/A</v>
      </c>
      <c r="W147" s="30">
        <v>2</v>
      </c>
      <c r="X147" s="30">
        <v>136.4</v>
      </c>
      <c r="Y147" s="30">
        <v>1.5</v>
      </c>
      <c r="Z147" s="30">
        <v>166</v>
      </c>
      <c r="AA147" s="30">
        <v>6.5</v>
      </c>
      <c r="AB147" s="30">
        <v>85</v>
      </c>
      <c r="AC147" s="30">
        <v>8</v>
      </c>
      <c r="AD147" s="30">
        <v>130</v>
      </c>
      <c r="AE147" s="30">
        <v>2</v>
      </c>
      <c r="AF147" s="30">
        <v>410</v>
      </c>
      <c r="AG147" s="30">
        <v>1.5</v>
      </c>
      <c r="AH147" s="30">
        <v>570</v>
      </c>
      <c r="AI147" s="30">
        <v>8</v>
      </c>
      <c r="AJ147" s="32">
        <v>534</v>
      </c>
      <c r="AK147" s="35">
        <v>12</v>
      </c>
      <c r="AL147" s="32">
        <v>930</v>
      </c>
      <c r="AM147" s="35">
        <v>2</v>
      </c>
      <c r="AN147" s="36">
        <v>1650</v>
      </c>
      <c r="AO147" s="31">
        <v>2</v>
      </c>
      <c r="AP147" s="30">
        <v>2034</v>
      </c>
      <c r="AQ147" s="30">
        <v>13</v>
      </c>
      <c r="AR147" s="30">
        <v>2437</v>
      </c>
      <c r="AS147" s="30">
        <v>2.5</v>
      </c>
      <c r="AT147" s="30">
        <v>3800</v>
      </c>
      <c r="AU147" s="30">
        <v>18</v>
      </c>
      <c r="AV147" s="30">
        <v>3500</v>
      </c>
      <c r="AW147" s="30">
        <v>20</v>
      </c>
      <c r="AX147" s="30">
        <v>4375</v>
      </c>
      <c r="AY147" s="30">
        <v>4</v>
      </c>
      <c r="AZ147" s="30">
        <v>7500</v>
      </c>
      <c r="BA147" s="30">
        <v>10</v>
      </c>
      <c r="BB147" s="30">
        <v>8500</v>
      </c>
      <c r="BC147" s="30">
        <v>18</v>
      </c>
      <c r="BD147" s="30">
        <v>9000</v>
      </c>
      <c r="BE147" s="30">
        <v>24</v>
      </c>
      <c r="BF147" s="30">
        <v>10500</v>
      </c>
      <c r="BG147" s="30">
        <v>6</v>
      </c>
      <c r="BH147" s="30">
        <v>15000</v>
      </c>
      <c r="BI147" s="30">
        <v>8</v>
      </c>
      <c r="BJ147" s="30">
        <v>17000</v>
      </c>
      <c r="BK147" s="65"/>
      <c r="BL147" s="65"/>
      <c r="BM147" s="65"/>
      <c r="BN147" s="65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</row>
    <row r="148" spans="16:90" ht="13.5" thickBot="1">
      <c r="P148" s="44"/>
      <c r="Q148" s="45"/>
      <c r="R148" s="45"/>
      <c r="S148" s="45"/>
      <c r="T148" s="45"/>
      <c r="U148" s="33" t="e">
        <f>HLOOKUP($T$144,$W$143:$BN$169,6)</f>
        <v>#N/A</v>
      </c>
      <c r="V148" s="33" t="e">
        <f>HLOOKUP($T$144,$W$143:$BN$169,18)*T2</f>
        <v>#N/A</v>
      </c>
      <c r="W148" s="30">
        <v>1.5</v>
      </c>
      <c r="X148" s="30">
        <v>68</v>
      </c>
      <c r="Y148" s="30">
        <v>2</v>
      </c>
      <c r="Z148" s="30">
        <v>137.5</v>
      </c>
      <c r="AA148" s="30">
        <v>6.5</v>
      </c>
      <c r="AB148" s="30">
        <v>70</v>
      </c>
      <c r="AC148" s="30">
        <v>8</v>
      </c>
      <c r="AD148" s="30">
        <v>95</v>
      </c>
      <c r="AE148" s="30">
        <v>6</v>
      </c>
      <c r="AF148" s="30">
        <v>365</v>
      </c>
      <c r="AG148" s="30">
        <v>7</v>
      </c>
      <c r="AH148" s="30">
        <v>410</v>
      </c>
      <c r="AI148" s="30">
        <v>8</v>
      </c>
      <c r="AJ148" s="32">
        <v>465</v>
      </c>
      <c r="AK148" s="35">
        <v>12</v>
      </c>
      <c r="AL148" s="32">
        <v>800</v>
      </c>
      <c r="AM148" s="35">
        <v>6</v>
      </c>
      <c r="AN148" s="36">
        <v>1570</v>
      </c>
      <c r="AO148" s="31">
        <v>14</v>
      </c>
      <c r="AP148" s="30">
        <v>1616</v>
      </c>
      <c r="AQ148" s="30">
        <v>13</v>
      </c>
      <c r="AR148" s="30">
        <v>1562</v>
      </c>
      <c r="AS148" s="30">
        <v>15</v>
      </c>
      <c r="AT148" s="30">
        <v>2900</v>
      </c>
      <c r="AU148" s="30">
        <v>18</v>
      </c>
      <c r="AV148" s="30">
        <v>1625</v>
      </c>
      <c r="AW148" s="30">
        <v>20</v>
      </c>
      <c r="AX148" s="30">
        <v>2125</v>
      </c>
      <c r="AY148" s="30">
        <v>22</v>
      </c>
      <c r="AZ148" s="30">
        <v>5200</v>
      </c>
      <c r="BA148" s="30">
        <v>14.5</v>
      </c>
      <c r="BB148" s="30">
        <v>7900</v>
      </c>
      <c r="BC148" s="30">
        <v>28</v>
      </c>
      <c r="BD148" s="30">
        <v>7300</v>
      </c>
      <c r="BE148" s="30">
        <v>34</v>
      </c>
      <c r="BF148" s="30">
        <v>9000</v>
      </c>
      <c r="BG148" s="30">
        <v>30</v>
      </c>
      <c r="BH148" s="30">
        <v>12200</v>
      </c>
      <c r="BI148" s="30">
        <v>32</v>
      </c>
      <c r="BJ148" s="30">
        <v>13900</v>
      </c>
      <c r="BK148" s="65"/>
      <c r="BL148" s="65"/>
      <c r="BM148" s="65"/>
      <c r="BN148" s="65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</row>
    <row r="149" spans="16:90" ht="13.5" thickBot="1">
      <c r="P149" s="44"/>
      <c r="Q149" s="69"/>
      <c r="R149" s="70"/>
      <c r="S149" s="45"/>
      <c r="T149" s="45"/>
      <c r="U149" s="33" t="e">
        <f>HLOOKUP($T$144,$W$143:$BN$169,7)</f>
        <v>#N/A</v>
      </c>
      <c r="V149" s="33" t="e">
        <f>HLOOKUP($T$144,$W$143:$BN$169,19)*T2</f>
        <v>#N/A</v>
      </c>
      <c r="W149" s="30">
        <v>0</v>
      </c>
      <c r="X149" s="30">
        <v>68</v>
      </c>
      <c r="Y149" s="30">
        <v>1.65</v>
      </c>
      <c r="Z149" s="30">
        <v>108</v>
      </c>
      <c r="AA149" s="30">
        <v>0</v>
      </c>
      <c r="AB149" s="30">
        <v>70</v>
      </c>
      <c r="AC149" s="30">
        <v>0</v>
      </c>
      <c r="AD149" s="30">
        <v>95</v>
      </c>
      <c r="AE149" s="30">
        <v>6</v>
      </c>
      <c r="AF149" s="30">
        <v>275</v>
      </c>
      <c r="AG149" s="30">
        <v>7</v>
      </c>
      <c r="AH149" s="30">
        <v>295</v>
      </c>
      <c r="AI149" s="30">
        <v>0</v>
      </c>
      <c r="AJ149" s="32">
        <v>465</v>
      </c>
      <c r="AK149" s="35">
        <v>0</v>
      </c>
      <c r="AL149" s="32">
        <v>674</v>
      </c>
      <c r="AM149" s="35">
        <v>12</v>
      </c>
      <c r="AN149" s="36">
        <v>1348</v>
      </c>
      <c r="AO149" s="31">
        <v>14</v>
      </c>
      <c r="AP149" s="30">
        <v>1023</v>
      </c>
      <c r="AQ149" s="30">
        <v>8.5</v>
      </c>
      <c r="AR149" s="30">
        <v>1000</v>
      </c>
      <c r="AS149" s="30">
        <v>15</v>
      </c>
      <c r="AT149" s="30">
        <v>2150</v>
      </c>
      <c r="AU149" s="30">
        <v>16</v>
      </c>
      <c r="AV149" s="30">
        <v>1560</v>
      </c>
      <c r="AW149" s="30">
        <v>16</v>
      </c>
      <c r="AX149" s="30">
        <v>1800</v>
      </c>
      <c r="AY149" s="30">
        <v>22</v>
      </c>
      <c r="AZ149" s="30">
        <v>2800</v>
      </c>
      <c r="BA149" s="30">
        <v>24</v>
      </c>
      <c r="BB149" s="30">
        <v>6500</v>
      </c>
      <c r="BC149" s="30">
        <v>28</v>
      </c>
      <c r="BD149" s="30">
        <v>4900</v>
      </c>
      <c r="BE149" s="30">
        <v>34</v>
      </c>
      <c r="BF149" s="30">
        <v>5300</v>
      </c>
      <c r="BG149" s="30">
        <v>36</v>
      </c>
      <c r="BH149" s="30">
        <v>11000</v>
      </c>
      <c r="BI149" s="30">
        <v>38</v>
      </c>
      <c r="BJ149" s="30">
        <v>12900</v>
      </c>
      <c r="BK149" s="65"/>
      <c r="BL149" s="65"/>
      <c r="BM149" s="65"/>
      <c r="BN149" s="65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</row>
    <row r="150" spans="16:90" ht="13.5" thickBot="1">
      <c r="P150" s="44"/>
      <c r="Q150" s="156" t="s">
        <v>111</v>
      </c>
      <c r="R150" s="157"/>
      <c r="S150" s="45"/>
      <c r="T150" s="45"/>
      <c r="U150" s="33" t="e">
        <f>HLOOKUP($T$144,$W$143:$BN$169,8)</f>
        <v>#N/A</v>
      </c>
      <c r="V150" s="33" t="e">
        <f>HLOOKUP($T$144,$W$143:$BN$169,20)*T2</f>
        <v>#N/A</v>
      </c>
      <c r="W150" s="30">
        <v>0</v>
      </c>
      <c r="X150" s="30">
        <v>136.4</v>
      </c>
      <c r="Y150" s="30">
        <v>0</v>
      </c>
      <c r="Z150" s="30">
        <v>108</v>
      </c>
      <c r="AA150" s="30">
        <v>0</v>
      </c>
      <c r="AB150" s="30">
        <v>175</v>
      </c>
      <c r="AC150" s="30">
        <v>0</v>
      </c>
      <c r="AD150" s="30">
        <v>237</v>
      </c>
      <c r="AE150" s="30">
        <v>3</v>
      </c>
      <c r="AF150" s="30">
        <v>205</v>
      </c>
      <c r="AG150" s="30">
        <v>3</v>
      </c>
      <c r="AH150" s="30">
        <v>205</v>
      </c>
      <c r="AI150" s="30">
        <v>0</v>
      </c>
      <c r="AJ150" s="32">
        <v>930</v>
      </c>
      <c r="AK150" s="35">
        <v>0</v>
      </c>
      <c r="AL150" s="32">
        <v>1395</v>
      </c>
      <c r="AM150" s="35">
        <v>12</v>
      </c>
      <c r="AN150" s="36">
        <v>813</v>
      </c>
      <c r="AO150" s="31">
        <v>0</v>
      </c>
      <c r="AP150" s="30">
        <v>697</v>
      </c>
      <c r="AQ150" s="30">
        <v>0</v>
      </c>
      <c r="AR150" s="30">
        <v>1000</v>
      </c>
      <c r="AS150" s="30">
        <v>9.4</v>
      </c>
      <c r="AT150" s="30">
        <v>1300</v>
      </c>
      <c r="AU150" s="30">
        <v>0</v>
      </c>
      <c r="AV150" s="30">
        <v>1560</v>
      </c>
      <c r="AW150" s="30">
        <v>0</v>
      </c>
      <c r="AX150" s="30">
        <v>1800</v>
      </c>
      <c r="AY150" s="30">
        <v>16</v>
      </c>
      <c r="AZ150" s="30">
        <v>2417</v>
      </c>
      <c r="BA150" s="30">
        <v>24</v>
      </c>
      <c r="BB150" s="30">
        <v>3800</v>
      </c>
      <c r="BC150" s="30">
        <v>17.5</v>
      </c>
      <c r="BD150" s="30">
        <v>3300</v>
      </c>
      <c r="BE150" s="30">
        <v>27</v>
      </c>
      <c r="BF150" s="30">
        <v>4367</v>
      </c>
      <c r="BG150" s="30">
        <v>36</v>
      </c>
      <c r="BH150" s="30">
        <v>7000</v>
      </c>
      <c r="BI150" s="30">
        <v>38</v>
      </c>
      <c r="BJ150" s="30">
        <v>8000</v>
      </c>
      <c r="BK150" s="65"/>
      <c r="BL150" s="65"/>
      <c r="BM150" s="65"/>
      <c r="BN150" s="65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</row>
    <row r="151" spans="16:90" ht="13.5" thickBot="1">
      <c r="P151" s="44"/>
      <c r="Q151" s="69" t="s">
        <v>112</v>
      </c>
      <c r="R151" s="71" t="s">
        <v>113</v>
      </c>
      <c r="S151" s="45"/>
      <c r="T151" s="45"/>
      <c r="U151" s="33" t="e">
        <f>HLOOKUP($T$144,$W$143:$BN$169,9)</f>
        <v>#N/A</v>
      </c>
      <c r="V151" s="33" t="e">
        <f>HLOOKUP($T$144,$W$143:$BN$169,21)*T2</f>
        <v>#N/A</v>
      </c>
      <c r="W151" s="30">
        <v>0</v>
      </c>
      <c r="X151" s="30">
        <v>136.4</v>
      </c>
      <c r="Y151" s="30">
        <v>0</v>
      </c>
      <c r="Z151" s="30">
        <v>227</v>
      </c>
      <c r="AA151" s="30">
        <v>0</v>
      </c>
      <c r="AB151" s="30">
        <v>175</v>
      </c>
      <c r="AC151" s="30">
        <v>0</v>
      </c>
      <c r="AD151" s="30">
        <v>237</v>
      </c>
      <c r="AE151" s="30">
        <v>0</v>
      </c>
      <c r="AF151" s="30">
        <v>205</v>
      </c>
      <c r="AG151" s="30">
        <v>0</v>
      </c>
      <c r="AH151" s="30">
        <v>205</v>
      </c>
      <c r="AI151" s="30">
        <v>0</v>
      </c>
      <c r="AJ151" s="32">
        <v>930</v>
      </c>
      <c r="AK151" s="35">
        <v>0</v>
      </c>
      <c r="AL151" s="32">
        <v>1395</v>
      </c>
      <c r="AM151" s="35">
        <v>0</v>
      </c>
      <c r="AN151" s="36">
        <v>697</v>
      </c>
      <c r="AO151" s="31">
        <v>0</v>
      </c>
      <c r="AP151" s="30">
        <v>2034</v>
      </c>
      <c r="AQ151" s="30">
        <v>0</v>
      </c>
      <c r="AR151" s="30">
        <v>3000</v>
      </c>
      <c r="AS151" s="30">
        <v>0</v>
      </c>
      <c r="AT151" s="30">
        <v>1300</v>
      </c>
      <c r="AU151" s="30">
        <v>0</v>
      </c>
      <c r="AV151" s="30">
        <v>5000</v>
      </c>
      <c r="AW151" s="30">
        <v>0</v>
      </c>
      <c r="AX151" s="30">
        <v>5750</v>
      </c>
      <c r="AY151" s="30">
        <v>0</v>
      </c>
      <c r="AZ151" s="30">
        <v>2417</v>
      </c>
      <c r="BA151" s="30">
        <v>17</v>
      </c>
      <c r="BB151" s="30">
        <v>2750</v>
      </c>
      <c r="BC151" s="30">
        <v>0</v>
      </c>
      <c r="BD151" s="30">
        <v>3300</v>
      </c>
      <c r="BE151" s="30">
        <v>0</v>
      </c>
      <c r="BF151" s="30">
        <v>4367</v>
      </c>
      <c r="BG151" s="30">
        <v>26</v>
      </c>
      <c r="BH151" s="30">
        <v>5000</v>
      </c>
      <c r="BI151" s="30">
        <v>29</v>
      </c>
      <c r="BJ151" s="30">
        <v>5600</v>
      </c>
      <c r="BK151" s="65"/>
      <c r="BL151" s="65"/>
      <c r="BM151" s="65"/>
      <c r="BN151" s="65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</row>
    <row r="152" spans="16:90" ht="13.5" thickBot="1">
      <c r="P152" s="44"/>
      <c r="Q152" s="72" t="e">
        <f>VLOOKUP(T144,Q159:S183,2)</f>
        <v>#N/A</v>
      </c>
      <c r="R152" s="72" t="e">
        <f>VLOOKUP(T144,Q159:S183,3)</f>
        <v>#N/A</v>
      </c>
      <c r="S152" s="45"/>
      <c r="T152" s="45"/>
      <c r="U152" s="33" t="e">
        <f>HLOOKUP($T$144,$W$143:$BN$169,10)</f>
        <v>#N/A</v>
      </c>
      <c r="V152" s="33" t="e">
        <f>HLOOKUP($T$144,$W$143:$BN$169,22)*T2</f>
        <v>#N/A</v>
      </c>
      <c r="W152" s="30">
        <v>0</v>
      </c>
      <c r="X152" s="30">
        <v>136.4</v>
      </c>
      <c r="Y152" s="30">
        <v>0</v>
      </c>
      <c r="Z152" s="30">
        <v>227</v>
      </c>
      <c r="AA152" s="30">
        <v>0</v>
      </c>
      <c r="AB152" s="30">
        <v>175</v>
      </c>
      <c r="AC152" s="30">
        <v>0</v>
      </c>
      <c r="AD152" s="30">
        <v>237</v>
      </c>
      <c r="AE152" s="30">
        <v>0</v>
      </c>
      <c r="AF152" s="30">
        <v>410</v>
      </c>
      <c r="AG152" s="30">
        <v>0</v>
      </c>
      <c r="AH152" s="30">
        <v>570</v>
      </c>
      <c r="AI152" s="30">
        <v>0</v>
      </c>
      <c r="AJ152" s="32">
        <v>930</v>
      </c>
      <c r="AK152" s="35">
        <v>0</v>
      </c>
      <c r="AL152" s="32">
        <v>1395</v>
      </c>
      <c r="AM152" s="35">
        <v>0</v>
      </c>
      <c r="AN152" s="36">
        <v>1650</v>
      </c>
      <c r="AO152" s="31">
        <v>0</v>
      </c>
      <c r="AP152" s="30">
        <v>2034</v>
      </c>
      <c r="AQ152" s="30">
        <v>0</v>
      </c>
      <c r="AR152" s="30">
        <v>3000</v>
      </c>
      <c r="AS152" s="30">
        <v>0</v>
      </c>
      <c r="AT152" s="30">
        <v>3900</v>
      </c>
      <c r="AU152" s="30">
        <v>0</v>
      </c>
      <c r="AV152" s="30">
        <v>5000</v>
      </c>
      <c r="AW152" s="30">
        <v>0</v>
      </c>
      <c r="AX152" s="30">
        <v>5750</v>
      </c>
      <c r="AY152" s="30">
        <v>0</v>
      </c>
      <c r="AZ152" s="30">
        <v>7250</v>
      </c>
      <c r="BA152" s="30">
        <v>0</v>
      </c>
      <c r="BB152" s="30">
        <v>2750</v>
      </c>
      <c r="BC152" s="30">
        <v>0</v>
      </c>
      <c r="BD152" s="30">
        <v>10500</v>
      </c>
      <c r="BE152" s="30">
        <v>0</v>
      </c>
      <c r="BF152" s="30">
        <v>13100</v>
      </c>
      <c r="BG152" s="30">
        <v>0</v>
      </c>
      <c r="BH152" s="30">
        <v>5000</v>
      </c>
      <c r="BI152" s="30">
        <v>0</v>
      </c>
      <c r="BJ152" s="30">
        <v>5600</v>
      </c>
      <c r="BK152" s="65"/>
      <c r="BL152" s="65"/>
      <c r="BM152" s="65"/>
      <c r="BN152" s="65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</row>
    <row r="153" spans="16:90" ht="13.5" thickBot="1">
      <c r="P153" s="44"/>
      <c r="Q153" s="45"/>
      <c r="R153" s="45"/>
      <c r="S153" s="45"/>
      <c r="T153" s="45"/>
      <c r="U153" s="33" t="e">
        <f>HLOOKUP($T$144,$W$143:$BN$169,11)</f>
        <v>#N/A</v>
      </c>
      <c r="V153" s="33" t="e">
        <f>HLOOKUP($T$144,$W$143:$BN$169,23)*T2</f>
        <v>#N/A</v>
      </c>
      <c r="W153" s="30">
        <v>0</v>
      </c>
      <c r="X153" s="30">
        <v>136.4</v>
      </c>
      <c r="Y153" s="30">
        <v>0</v>
      </c>
      <c r="Z153" s="30">
        <v>227</v>
      </c>
      <c r="AA153" s="30">
        <v>0</v>
      </c>
      <c r="AB153" s="30">
        <v>175</v>
      </c>
      <c r="AC153" s="30">
        <v>0</v>
      </c>
      <c r="AD153" s="30">
        <v>237</v>
      </c>
      <c r="AE153" s="30">
        <v>0</v>
      </c>
      <c r="AF153" s="30">
        <v>410</v>
      </c>
      <c r="AG153" s="30">
        <v>0</v>
      </c>
      <c r="AH153" s="30">
        <v>570</v>
      </c>
      <c r="AI153" s="30">
        <v>0</v>
      </c>
      <c r="AJ153" s="32">
        <v>930</v>
      </c>
      <c r="AK153" s="35">
        <v>0</v>
      </c>
      <c r="AL153" s="32">
        <v>1395</v>
      </c>
      <c r="AM153" s="35">
        <v>0</v>
      </c>
      <c r="AN153" s="36">
        <v>1650</v>
      </c>
      <c r="AO153" s="31">
        <v>0</v>
      </c>
      <c r="AP153" s="30">
        <v>2034</v>
      </c>
      <c r="AQ153" s="30">
        <v>0</v>
      </c>
      <c r="AR153" s="30">
        <v>3000</v>
      </c>
      <c r="AS153" s="30">
        <v>0</v>
      </c>
      <c r="AT153" s="30">
        <v>3900</v>
      </c>
      <c r="AU153" s="30">
        <v>0</v>
      </c>
      <c r="AV153" s="30">
        <v>5000</v>
      </c>
      <c r="AW153" s="30">
        <v>0</v>
      </c>
      <c r="AX153" s="30">
        <v>5750</v>
      </c>
      <c r="AY153" s="30">
        <v>0</v>
      </c>
      <c r="AZ153" s="30">
        <v>7250</v>
      </c>
      <c r="BA153" s="30">
        <v>0</v>
      </c>
      <c r="BB153" s="30">
        <v>8500</v>
      </c>
      <c r="BC153" s="30">
        <v>0</v>
      </c>
      <c r="BD153" s="30">
        <v>10500</v>
      </c>
      <c r="BE153" s="30">
        <v>0</v>
      </c>
      <c r="BF153" s="30">
        <v>13100</v>
      </c>
      <c r="BG153" s="30">
        <v>0</v>
      </c>
      <c r="BH153" s="30">
        <v>5000</v>
      </c>
      <c r="BI153" s="30">
        <v>0</v>
      </c>
      <c r="BJ153" s="30">
        <v>5600</v>
      </c>
      <c r="BK153" s="65"/>
      <c r="BL153" s="65"/>
      <c r="BM153" s="65"/>
      <c r="BN153" s="65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</row>
    <row r="154" spans="16:90" ht="13.5" thickBot="1">
      <c r="P154" s="44"/>
      <c r="Q154" s="45"/>
      <c r="R154" s="45"/>
      <c r="S154" s="45"/>
      <c r="T154" s="45"/>
      <c r="U154" s="33" t="e">
        <f>HLOOKUP($T$144,$W$143:$BN$169,12)</f>
        <v>#N/A</v>
      </c>
      <c r="V154" s="33" t="e">
        <f>HLOOKUP($T$144,$W$143:$BN$169,24)*T2</f>
        <v>#N/A</v>
      </c>
      <c r="W154" s="30">
        <v>0</v>
      </c>
      <c r="X154" s="30">
        <v>136.4</v>
      </c>
      <c r="Y154" s="30">
        <v>0</v>
      </c>
      <c r="Z154" s="30">
        <v>227</v>
      </c>
      <c r="AA154" s="30">
        <v>0</v>
      </c>
      <c r="AB154" s="30">
        <v>175</v>
      </c>
      <c r="AC154" s="30">
        <v>0</v>
      </c>
      <c r="AD154" s="30">
        <v>237</v>
      </c>
      <c r="AE154" s="30">
        <v>0</v>
      </c>
      <c r="AF154" s="30">
        <v>410</v>
      </c>
      <c r="AG154" s="30">
        <v>0</v>
      </c>
      <c r="AH154" s="30">
        <v>570</v>
      </c>
      <c r="AI154" s="30">
        <v>0</v>
      </c>
      <c r="AJ154" s="32">
        <v>930</v>
      </c>
      <c r="AK154" s="35">
        <v>0</v>
      </c>
      <c r="AL154" s="32">
        <v>1395</v>
      </c>
      <c r="AM154" s="35">
        <v>0</v>
      </c>
      <c r="AN154" s="36">
        <v>1650</v>
      </c>
      <c r="AO154" s="31">
        <v>0</v>
      </c>
      <c r="AP154" s="30">
        <v>2034</v>
      </c>
      <c r="AQ154" s="30">
        <v>0</v>
      </c>
      <c r="AR154" s="30">
        <v>3000</v>
      </c>
      <c r="AS154" s="30">
        <v>0</v>
      </c>
      <c r="AT154" s="30">
        <v>3900</v>
      </c>
      <c r="AU154" s="30">
        <v>0</v>
      </c>
      <c r="AV154" s="30">
        <v>5000</v>
      </c>
      <c r="AW154" s="30">
        <v>0</v>
      </c>
      <c r="AX154" s="30">
        <v>5750</v>
      </c>
      <c r="AY154" s="30">
        <v>0</v>
      </c>
      <c r="AZ154" s="30">
        <v>7250</v>
      </c>
      <c r="BA154" s="30">
        <v>0</v>
      </c>
      <c r="BB154" s="30">
        <v>8500</v>
      </c>
      <c r="BC154" s="30">
        <v>0</v>
      </c>
      <c r="BD154" s="30">
        <v>10500</v>
      </c>
      <c r="BE154" s="30">
        <v>0</v>
      </c>
      <c r="BF154" s="30">
        <v>13100</v>
      </c>
      <c r="BG154" s="30">
        <v>0</v>
      </c>
      <c r="BH154" s="30">
        <v>5000</v>
      </c>
      <c r="BI154" s="30">
        <v>0</v>
      </c>
      <c r="BJ154" s="30">
        <v>5600</v>
      </c>
      <c r="BK154" s="65"/>
      <c r="BL154" s="65"/>
      <c r="BM154" s="65"/>
      <c r="BN154" s="65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</row>
    <row r="155" spans="16:90" ht="13.5" thickBot="1">
      <c r="P155" s="44"/>
      <c r="Q155" s="45"/>
      <c r="R155" s="45"/>
      <c r="S155" s="45"/>
      <c r="T155" s="45"/>
      <c r="U155" s="33" t="e">
        <f>HLOOKUP($T$144,$W$143:$BN$169,13)</f>
        <v>#N/A</v>
      </c>
      <c r="V155" s="33" t="e">
        <f>HLOOKUP($T$144,$W$143:$BN$169,25)*T2</f>
        <v>#N/A</v>
      </c>
      <c r="W155" s="30">
        <v>0</v>
      </c>
      <c r="X155" s="30">
        <v>136.4</v>
      </c>
      <c r="Y155" s="30">
        <v>0</v>
      </c>
      <c r="Z155" s="30">
        <v>227</v>
      </c>
      <c r="AA155" s="30">
        <v>0</v>
      </c>
      <c r="AB155" s="30">
        <v>175</v>
      </c>
      <c r="AC155" s="30">
        <v>0</v>
      </c>
      <c r="AD155" s="30">
        <v>237</v>
      </c>
      <c r="AE155" s="30">
        <v>0</v>
      </c>
      <c r="AF155" s="30">
        <v>410</v>
      </c>
      <c r="AG155" s="30">
        <v>0</v>
      </c>
      <c r="AH155" s="30">
        <v>570</v>
      </c>
      <c r="AI155" s="30">
        <v>0</v>
      </c>
      <c r="AJ155" s="32">
        <v>930</v>
      </c>
      <c r="AK155" s="35">
        <v>0</v>
      </c>
      <c r="AL155" s="32">
        <v>1395</v>
      </c>
      <c r="AM155" s="35">
        <v>0</v>
      </c>
      <c r="AN155" s="36">
        <v>1650</v>
      </c>
      <c r="AO155" s="31">
        <v>0</v>
      </c>
      <c r="AP155" s="30">
        <v>2034</v>
      </c>
      <c r="AQ155" s="30">
        <v>0</v>
      </c>
      <c r="AR155" s="30">
        <v>3000</v>
      </c>
      <c r="AS155" s="30">
        <v>0</v>
      </c>
      <c r="AT155" s="30">
        <v>3900</v>
      </c>
      <c r="AU155" s="30">
        <v>0</v>
      </c>
      <c r="AV155" s="30">
        <v>5000</v>
      </c>
      <c r="AW155" s="30">
        <v>0</v>
      </c>
      <c r="AX155" s="30">
        <v>5750</v>
      </c>
      <c r="AY155" s="30">
        <v>0</v>
      </c>
      <c r="AZ155" s="30">
        <v>7250</v>
      </c>
      <c r="BA155" s="30">
        <v>0</v>
      </c>
      <c r="BB155" s="30">
        <v>8500</v>
      </c>
      <c r="BC155" s="30">
        <v>0</v>
      </c>
      <c r="BD155" s="30">
        <v>10500</v>
      </c>
      <c r="BE155" s="30">
        <v>0</v>
      </c>
      <c r="BF155" s="30">
        <v>13100</v>
      </c>
      <c r="BG155" s="30">
        <v>0</v>
      </c>
      <c r="BH155" s="30">
        <v>5000</v>
      </c>
      <c r="BI155" s="30">
        <v>0</v>
      </c>
      <c r="BJ155" s="30">
        <v>5600</v>
      </c>
      <c r="BK155" s="65"/>
      <c r="BL155" s="65"/>
      <c r="BM155" s="65"/>
      <c r="BN155" s="65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</row>
    <row r="156" spans="16:90" ht="12.75">
      <c r="P156" s="44"/>
      <c r="Q156" s="45"/>
      <c r="R156" s="45"/>
      <c r="S156" s="45"/>
      <c r="T156" s="45"/>
      <c r="U156" s="33" t="e">
        <f>HLOOKUP($T$144,$W$143:$BN$169,14)</f>
        <v>#N/A</v>
      </c>
      <c r="V156" s="33" t="e">
        <f>HLOOKUP($T$144,$W$143:$BN$169,26)*T2</f>
        <v>#N/A</v>
      </c>
      <c r="W156" s="30">
        <v>0</v>
      </c>
      <c r="X156" s="30">
        <v>136.4</v>
      </c>
      <c r="Y156" s="30">
        <v>0</v>
      </c>
      <c r="Z156" s="30">
        <v>227</v>
      </c>
      <c r="AA156" s="30">
        <v>0</v>
      </c>
      <c r="AB156" s="30">
        <v>175</v>
      </c>
      <c r="AC156" s="30">
        <v>0</v>
      </c>
      <c r="AD156" s="30">
        <v>237</v>
      </c>
      <c r="AE156" s="30">
        <v>0</v>
      </c>
      <c r="AF156" s="30">
        <v>410</v>
      </c>
      <c r="AG156" s="30">
        <v>0</v>
      </c>
      <c r="AH156" s="30">
        <v>570</v>
      </c>
      <c r="AI156" s="30">
        <v>0</v>
      </c>
      <c r="AJ156" s="32">
        <v>930</v>
      </c>
      <c r="AK156" s="35">
        <v>0</v>
      </c>
      <c r="AL156" s="32">
        <v>1395</v>
      </c>
      <c r="AM156" s="35">
        <v>0</v>
      </c>
      <c r="AN156" s="36">
        <v>1650</v>
      </c>
      <c r="AO156" s="31">
        <v>0</v>
      </c>
      <c r="AP156" s="30">
        <v>2034</v>
      </c>
      <c r="AQ156" s="30">
        <v>0</v>
      </c>
      <c r="AR156" s="30">
        <v>3000</v>
      </c>
      <c r="AS156" s="30">
        <v>0</v>
      </c>
      <c r="AT156" s="30">
        <v>3900</v>
      </c>
      <c r="AU156" s="30">
        <v>0</v>
      </c>
      <c r="AV156" s="30">
        <v>5000</v>
      </c>
      <c r="AW156" s="30">
        <v>0</v>
      </c>
      <c r="AX156" s="30">
        <v>5750</v>
      </c>
      <c r="AY156" s="30">
        <v>0</v>
      </c>
      <c r="AZ156" s="30">
        <v>7250</v>
      </c>
      <c r="BA156" s="30">
        <v>0</v>
      </c>
      <c r="BB156" s="30">
        <v>8500</v>
      </c>
      <c r="BC156" s="30">
        <v>0</v>
      </c>
      <c r="BD156" s="30">
        <v>10500</v>
      </c>
      <c r="BE156" s="30">
        <v>0</v>
      </c>
      <c r="BF156" s="30">
        <v>13100</v>
      </c>
      <c r="BG156" s="30">
        <v>0</v>
      </c>
      <c r="BH156" s="30">
        <v>5000</v>
      </c>
      <c r="BI156" s="30">
        <v>0</v>
      </c>
      <c r="BJ156" s="30">
        <v>5600</v>
      </c>
      <c r="BK156" s="65"/>
      <c r="BL156" s="65"/>
      <c r="BM156" s="65"/>
      <c r="BN156" s="65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</row>
    <row r="157" spans="16:90" ht="12.75">
      <c r="P157" s="44"/>
      <c r="Q157" s="44"/>
      <c r="R157" s="155" t="s">
        <v>111</v>
      </c>
      <c r="S157" s="155"/>
      <c r="T157" s="45"/>
      <c r="U157" s="45"/>
      <c r="V157" s="45"/>
      <c r="W157" s="30" t="str">
        <f aca="true" t="shared" si="84" ref="W157:W168">X145</f>
        <v>potenza</v>
      </c>
      <c r="X157" s="30"/>
      <c r="Y157" s="30" t="str">
        <f>Z145</f>
        <v>potenza</v>
      </c>
      <c r="Z157" s="30"/>
      <c r="AA157" s="30" t="str">
        <f>AB145</f>
        <v>potenza</v>
      </c>
      <c r="AB157" s="30"/>
      <c r="AC157" s="30" t="str">
        <f>AD145</f>
        <v>potenza</v>
      </c>
      <c r="AD157" s="30"/>
      <c r="AE157" s="39" t="str">
        <f>AF145</f>
        <v>potenza</v>
      </c>
      <c r="AF157" s="39"/>
      <c r="AG157" s="39" t="str">
        <f>AH145</f>
        <v>potenza</v>
      </c>
      <c r="AH157" s="39"/>
      <c r="AI157" s="30" t="str">
        <f>AJ145</f>
        <v>potenza</v>
      </c>
      <c r="AJ157" s="30"/>
      <c r="AK157" s="30" t="str">
        <f>AL145</f>
        <v>potenza</v>
      </c>
      <c r="AL157" s="30"/>
      <c r="AM157" s="30" t="str">
        <f>AN145</f>
        <v>potenza</v>
      </c>
      <c r="AN157" s="30"/>
      <c r="AO157" s="30" t="str">
        <f>AP145</f>
        <v>potenza</v>
      </c>
      <c r="AP157" s="30"/>
      <c r="AQ157" s="30" t="str">
        <f>AR145</f>
        <v>potenza</v>
      </c>
      <c r="AR157" s="30"/>
      <c r="AS157" s="30" t="str">
        <f>AT145</f>
        <v>potenza</v>
      </c>
      <c r="AT157" s="30"/>
      <c r="AU157" s="30" t="str">
        <f>AV145</f>
        <v>potenza</v>
      </c>
      <c r="AV157" s="30"/>
      <c r="AW157" s="30" t="str">
        <f>AX145</f>
        <v>potenza</v>
      </c>
      <c r="AX157" s="30"/>
      <c r="AY157" s="30" t="str">
        <f>AZ145</f>
        <v>potenza</v>
      </c>
      <c r="AZ157" s="30"/>
      <c r="BA157" s="30" t="str">
        <f>BB145</f>
        <v>potenza</v>
      </c>
      <c r="BB157" s="30"/>
      <c r="BC157" s="30" t="str">
        <f>BD145</f>
        <v>potenza</v>
      </c>
      <c r="BD157" s="30"/>
      <c r="BE157" s="30" t="str">
        <f>BF145</f>
        <v>potenza</v>
      </c>
      <c r="BF157" s="30"/>
      <c r="BG157" s="30" t="str">
        <f>BH145</f>
        <v>potenza</v>
      </c>
      <c r="BH157" s="30"/>
      <c r="BI157" s="30" t="str">
        <f>BJ145</f>
        <v>potenza</v>
      </c>
      <c r="BJ157" s="30"/>
      <c r="BK157" s="30">
        <f>BL145</f>
        <v>0</v>
      </c>
      <c r="BL157" s="30"/>
      <c r="BM157" s="30">
        <f>BN145</f>
        <v>0</v>
      </c>
      <c r="BN157" s="45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</row>
    <row r="158" spans="16:90" ht="12.75">
      <c r="P158" s="44"/>
      <c r="Q158" s="44"/>
      <c r="R158" s="68" t="s">
        <v>112</v>
      </c>
      <c r="S158" s="68" t="s">
        <v>113</v>
      </c>
      <c r="T158" s="45"/>
      <c r="U158" s="45"/>
      <c r="V158" s="45"/>
      <c r="W158" s="30">
        <f t="shared" si="84"/>
        <v>136.4</v>
      </c>
      <c r="X158" s="30"/>
      <c r="Y158" s="30">
        <f aca="true" t="shared" si="85" ref="Y158:Y168">Z146</f>
        <v>227</v>
      </c>
      <c r="Z158" s="30"/>
      <c r="AA158" s="30">
        <f aca="true" t="shared" si="86" ref="AA158:AA168">AB146</f>
        <v>175</v>
      </c>
      <c r="AB158" s="30"/>
      <c r="AC158" s="30">
        <f aca="true" t="shared" si="87" ref="AC158:AC168">AD146</f>
        <v>237</v>
      </c>
      <c r="AD158" s="30"/>
      <c r="AE158" s="30">
        <f aca="true" t="shared" si="88" ref="AE158:AE168">AF146</f>
        <v>410</v>
      </c>
      <c r="AF158" s="30"/>
      <c r="AG158" s="30">
        <f aca="true" t="shared" si="89" ref="AG158:AG168">AH146</f>
        <v>570</v>
      </c>
      <c r="AH158" s="30"/>
      <c r="AI158" s="30">
        <f aca="true" t="shared" si="90" ref="AI158:AI168">AJ146</f>
        <v>930</v>
      </c>
      <c r="AJ158" s="30"/>
      <c r="AK158" s="30">
        <f aca="true" t="shared" si="91" ref="AK158:AK168">AL146</f>
        <v>1395</v>
      </c>
      <c r="AL158" s="30"/>
      <c r="AM158" s="30">
        <f aca="true" t="shared" si="92" ref="AM158:AM168">AN146</f>
        <v>1650</v>
      </c>
      <c r="AN158" s="30"/>
      <c r="AO158" s="30">
        <f aca="true" t="shared" si="93" ref="AO158:AO168">AP146</f>
        <v>2034</v>
      </c>
      <c r="AP158" s="30"/>
      <c r="AQ158" s="30">
        <f aca="true" t="shared" si="94" ref="AQ158:AQ168">AR146</f>
        <v>3000</v>
      </c>
      <c r="AR158" s="30"/>
      <c r="AS158" s="30">
        <f aca="true" t="shared" si="95" ref="AS158:AS168">AT146</f>
        <v>3900</v>
      </c>
      <c r="AT158" s="30"/>
      <c r="AU158" s="30">
        <f aca="true" t="shared" si="96" ref="AU158:AU168">AV146</f>
        <v>5000</v>
      </c>
      <c r="AV158" s="30"/>
      <c r="AW158" s="30">
        <f aca="true" t="shared" si="97" ref="AW158:AW168">AX146</f>
        <v>5750</v>
      </c>
      <c r="AX158" s="30"/>
      <c r="AY158" s="30">
        <f aca="true" t="shared" si="98" ref="AY158:AY168">AZ146</f>
        <v>7500</v>
      </c>
      <c r="AZ158" s="30"/>
      <c r="BA158" s="30">
        <f aca="true" t="shared" si="99" ref="BA158:BA168">BB146</f>
        <v>8500</v>
      </c>
      <c r="BB158" s="30"/>
      <c r="BC158" s="30">
        <f aca="true" t="shared" si="100" ref="BC158:BC168">BD146</f>
        <v>10500</v>
      </c>
      <c r="BD158" s="30"/>
      <c r="BE158" s="30">
        <f aca="true" t="shared" si="101" ref="BE158:BE168">BF146</f>
        <v>13100</v>
      </c>
      <c r="BF158" s="30"/>
      <c r="BG158" s="30">
        <f aca="true" t="shared" si="102" ref="BG158:BG168">BH146</f>
        <v>15000</v>
      </c>
      <c r="BH158" s="30"/>
      <c r="BI158" s="30">
        <f aca="true" t="shared" si="103" ref="BI158:BI168">BJ146</f>
        <v>17000</v>
      </c>
      <c r="BJ158" s="30"/>
      <c r="BK158" s="30">
        <f aca="true" t="shared" si="104" ref="BK158:BK168">BL146</f>
        <v>0</v>
      </c>
      <c r="BL158" s="30"/>
      <c r="BM158" s="30">
        <f aca="true" t="shared" si="105" ref="BM158:BM168">BN146</f>
        <v>0</v>
      </c>
      <c r="BN158" s="45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</row>
    <row r="159" spans="16:90" ht="12.75">
      <c r="P159" s="44"/>
      <c r="Q159" s="44">
        <v>1</v>
      </c>
      <c r="R159" s="68">
        <v>130</v>
      </c>
      <c r="S159" s="68" t="s">
        <v>140</v>
      </c>
      <c r="T159" s="30">
        <v>1</v>
      </c>
      <c r="U159" s="30" t="str">
        <f>W144</f>
        <v>Maxflam 10.1</v>
      </c>
      <c r="V159" s="30"/>
      <c r="W159" s="31">
        <f t="shared" si="84"/>
        <v>136.4</v>
      </c>
      <c r="X159" s="30"/>
      <c r="Y159" s="30">
        <f t="shared" si="85"/>
        <v>166</v>
      </c>
      <c r="Z159" s="30"/>
      <c r="AA159" s="30">
        <f t="shared" si="86"/>
        <v>85</v>
      </c>
      <c r="AB159" s="30"/>
      <c r="AC159" s="30">
        <f t="shared" si="87"/>
        <v>130</v>
      </c>
      <c r="AD159" s="30"/>
      <c r="AE159" s="30">
        <f t="shared" si="88"/>
        <v>410</v>
      </c>
      <c r="AF159" s="30"/>
      <c r="AG159" s="30">
        <f t="shared" si="89"/>
        <v>570</v>
      </c>
      <c r="AH159" s="30"/>
      <c r="AI159" s="30">
        <f t="shared" si="90"/>
        <v>534</v>
      </c>
      <c r="AJ159" s="30"/>
      <c r="AK159" s="30">
        <f t="shared" si="91"/>
        <v>930</v>
      </c>
      <c r="AL159" s="30"/>
      <c r="AM159" s="30">
        <f t="shared" si="92"/>
        <v>1650</v>
      </c>
      <c r="AN159" s="30"/>
      <c r="AO159" s="30">
        <f t="shared" si="93"/>
        <v>2034</v>
      </c>
      <c r="AP159" s="30"/>
      <c r="AQ159" s="30">
        <f t="shared" si="94"/>
        <v>2437</v>
      </c>
      <c r="AR159" s="30"/>
      <c r="AS159" s="30">
        <f t="shared" si="95"/>
        <v>3800</v>
      </c>
      <c r="AT159" s="30"/>
      <c r="AU159" s="30">
        <f t="shared" si="96"/>
        <v>3500</v>
      </c>
      <c r="AV159" s="30"/>
      <c r="AW159" s="30">
        <f t="shared" si="97"/>
        <v>4375</v>
      </c>
      <c r="AX159" s="30"/>
      <c r="AY159" s="30">
        <f t="shared" si="98"/>
        <v>7500</v>
      </c>
      <c r="AZ159" s="30"/>
      <c r="BA159" s="30">
        <f t="shared" si="99"/>
        <v>8500</v>
      </c>
      <c r="BB159" s="30"/>
      <c r="BC159" s="30">
        <f t="shared" si="100"/>
        <v>9000</v>
      </c>
      <c r="BD159" s="30"/>
      <c r="BE159" s="30">
        <f t="shared" si="101"/>
        <v>10500</v>
      </c>
      <c r="BF159" s="30"/>
      <c r="BG159" s="30">
        <f t="shared" si="102"/>
        <v>15000</v>
      </c>
      <c r="BH159" s="30"/>
      <c r="BI159" s="30">
        <f t="shared" si="103"/>
        <v>17000</v>
      </c>
      <c r="BJ159" s="30"/>
      <c r="BK159" s="30">
        <f t="shared" si="104"/>
        <v>0</v>
      </c>
      <c r="BL159" s="30"/>
      <c r="BM159" s="30">
        <f t="shared" si="105"/>
        <v>0</v>
      </c>
      <c r="BN159" s="45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</row>
    <row r="160" spans="16:90" ht="12.75">
      <c r="P160" s="44"/>
      <c r="Q160" s="44">
        <v>2</v>
      </c>
      <c r="R160" s="68">
        <v>130</v>
      </c>
      <c r="S160" s="68" t="s">
        <v>140</v>
      </c>
      <c r="T160" s="30">
        <f>T159+1</f>
        <v>2</v>
      </c>
      <c r="U160" s="30" t="str">
        <f>Y144</f>
        <v>Maxflam 20.1</v>
      </c>
      <c r="V160" s="30"/>
      <c r="W160" s="31">
        <f t="shared" si="84"/>
        <v>68</v>
      </c>
      <c r="X160" s="30"/>
      <c r="Y160" s="30">
        <f t="shared" si="85"/>
        <v>137.5</v>
      </c>
      <c r="Z160" s="30"/>
      <c r="AA160" s="30">
        <f t="shared" si="86"/>
        <v>70</v>
      </c>
      <c r="AB160" s="30"/>
      <c r="AC160" s="30">
        <f t="shared" si="87"/>
        <v>95</v>
      </c>
      <c r="AD160" s="30"/>
      <c r="AE160" s="30">
        <f t="shared" si="88"/>
        <v>365</v>
      </c>
      <c r="AF160" s="30"/>
      <c r="AG160" s="30">
        <f t="shared" si="89"/>
        <v>410</v>
      </c>
      <c r="AH160" s="30"/>
      <c r="AI160" s="30">
        <f t="shared" si="90"/>
        <v>465</v>
      </c>
      <c r="AJ160" s="30"/>
      <c r="AK160" s="30">
        <f t="shared" si="91"/>
        <v>800</v>
      </c>
      <c r="AL160" s="30"/>
      <c r="AM160" s="30">
        <f t="shared" si="92"/>
        <v>1570</v>
      </c>
      <c r="AN160" s="30"/>
      <c r="AO160" s="30">
        <f t="shared" si="93"/>
        <v>1616</v>
      </c>
      <c r="AP160" s="30"/>
      <c r="AQ160" s="30">
        <f t="shared" si="94"/>
        <v>1562</v>
      </c>
      <c r="AR160" s="30"/>
      <c r="AS160" s="30">
        <f t="shared" si="95"/>
        <v>2900</v>
      </c>
      <c r="AT160" s="30"/>
      <c r="AU160" s="30">
        <f t="shared" si="96"/>
        <v>1625</v>
      </c>
      <c r="AV160" s="30"/>
      <c r="AW160" s="30">
        <f t="shared" si="97"/>
        <v>2125</v>
      </c>
      <c r="AX160" s="30"/>
      <c r="AY160" s="30">
        <f t="shared" si="98"/>
        <v>5200</v>
      </c>
      <c r="AZ160" s="30"/>
      <c r="BA160" s="30">
        <f t="shared" si="99"/>
        <v>7900</v>
      </c>
      <c r="BB160" s="30"/>
      <c r="BC160" s="30">
        <f t="shared" si="100"/>
        <v>7300</v>
      </c>
      <c r="BD160" s="30"/>
      <c r="BE160" s="30">
        <f t="shared" si="101"/>
        <v>9000</v>
      </c>
      <c r="BF160" s="30"/>
      <c r="BG160" s="30">
        <f t="shared" si="102"/>
        <v>12200</v>
      </c>
      <c r="BH160" s="30"/>
      <c r="BI160" s="30">
        <f t="shared" si="103"/>
        <v>13900</v>
      </c>
      <c r="BJ160" s="30"/>
      <c r="BK160" s="30">
        <f t="shared" si="104"/>
        <v>0</v>
      </c>
      <c r="BL160" s="30"/>
      <c r="BM160" s="30">
        <f t="shared" si="105"/>
        <v>0</v>
      </c>
      <c r="BN160" s="45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</row>
    <row r="161" spans="16:90" ht="12.75">
      <c r="P161" s="44"/>
      <c r="Q161" s="44">
        <f>Q160+1</f>
        <v>3</v>
      </c>
      <c r="R161" s="68">
        <v>137</v>
      </c>
      <c r="S161" s="68">
        <v>175</v>
      </c>
      <c r="T161" s="30">
        <f aca="true" t="shared" si="106" ref="T161:T180">T160+1</f>
        <v>3</v>
      </c>
      <c r="U161" s="30" t="str">
        <f>AA144</f>
        <v>Oilflam 15,1</v>
      </c>
      <c r="V161" s="30"/>
      <c r="W161" s="31">
        <f t="shared" si="84"/>
        <v>68</v>
      </c>
      <c r="X161" s="30"/>
      <c r="Y161" s="30">
        <f t="shared" si="85"/>
        <v>108</v>
      </c>
      <c r="Z161" s="30"/>
      <c r="AA161" s="30">
        <f t="shared" si="86"/>
        <v>70</v>
      </c>
      <c r="AB161" s="30"/>
      <c r="AC161" s="30">
        <f t="shared" si="87"/>
        <v>95</v>
      </c>
      <c r="AD161" s="30"/>
      <c r="AE161" s="30">
        <f t="shared" si="88"/>
        <v>275</v>
      </c>
      <c r="AF161" s="30"/>
      <c r="AG161" s="30">
        <f t="shared" si="89"/>
        <v>295</v>
      </c>
      <c r="AH161" s="30"/>
      <c r="AI161" s="30">
        <f t="shared" si="90"/>
        <v>465</v>
      </c>
      <c r="AJ161" s="30"/>
      <c r="AK161" s="30">
        <f t="shared" si="91"/>
        <v>674</v>
      </c>
      <c r="AL161" s="30"/>
      <c r="AM161" s="30">
        <f t="shared" si="92"/>
        <v>1348</v>
      </c>
      <c r="AN161" s="30"/>
      <c r="AO161" s="30">
        <f t="shared" si="93"/>
        <v>1023</v>
      </c>
      <c r="AP161" s="30"/>
      <c r="AQ161" s="30">
        <f t="shared" si="94"/>
        <v>1000</v>
      </c>
      <c r="AR161" s="30"/>
      <c r="AS161" s="30">
        <f t="shared" si="95"/>
        <v>2150</v>
      </c>
      <c r="AT161" s="30"/>
      <c r="AU161" s="30">
        <f t="shared" si="96"/>
        <v>1560</v>
      </c>
      <c r="AV161" s="30"/>
      <c r="AW161" s="30">
        <f t="shared" si="97"/>
        <v>1800</v>
      </c>
      <c r="AX161" s="30"/>
      <c r="AY161" s="30">
        <f t="shared" si="98"/>
        <v>2800</v>
      </c>
      <c r="AZ161" s="30"/>
      <c r="BA161" s="30">
        <f t="shared" si="99"/>
        <v>6500</v>
      </c>
      <c r="BB161" s="30"/>
      <c r="BC161" s="30">
        <f t="shared" si="100"/>
        <v>4900</v>
      </c>
      <c r="BD161" s="30"/>
      <c r="BE161" s="30">
        <f t="shared" si="101"/>
        <v>5300</v>
      </c>
      <c r="BF161" s="30"/>
      <c r="BG161" s="30">
        <f t="shared" si="102"/>
        <v>11000</v>
      </c>
      <c r="BH161" s="30"/>
      <c r="BI161" s="30">
        <f t="shared" si="103"/>
        <v>12900</v>
      </c>
      <c r="BJ161" s="30"/>
      <c r="BK161" s="30">
        <f t="shared" si="104"/>
        <v>0</v>
      </c>
      <c r="BL161" s="30"/>
      <c r="BM161" s="30">
        <f t="shared" si="105"/>
        <v>0</v>
      </c>
      <c r="BN161" s="45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</row>
    <row r="162" spans="16:90" ht="12.75">
      <c r="P162" s="44"/>
      <c r="Q162" s="44">
        <f aca="true" t="shared" si="107" ref="Q162:Q183">Q161+1</f>
        <v>4</v>
      </c>
      <c r="R162" s="68">
        <v>155</v>
      </c>
      <c r="S162" s="68" t="s">
        <v>140</v>
      </c>
      <c r="T162" s="30">
        <f t="shared" si="106"/>
        <v>4</v>
      </c>
      <c r="U162" s="30" t="str">
        <f>AC144</f>
        <v>Oilflam 20.1</v>
      </c>
      <c r="V162" s="30"/>
      <c r="W162" s="31">
        <f t="shared" si="84"/>
        <v>136.4</v>
      </c>
      <c r="X162" s="30"/>
      <c r="Y162" s="30">
        <f t="shared" si="85"/>
        <v>108</v>
      </c>
      <c r="Z162" s="30"/>
      <c r="AA162" s="30">
        <f t="shared" si="86"/>
        <v>175</v>
      </c>
      <c r="AB162" s="30"/>
      <c r="AC162" s="30">
        <f t="shared" si="87"/>
        <v>237</v>
      </c>
      <c r="AD162" s="30"/>
      <c r="AE162" s="30">
        <f t="shared" si="88"/>
        <v>205</v>
      </c>
      <c r="AF162" s="30"/>
      <c r="AG162" s="30">
        <f t="shared" si="89"/>
        <v>205</v>
      </c>
      <c r="AH162" s="30"/>
      <c r="AI162" s="30">
        <f t="shared" si="90"/>
        <v>930</v>
      </c>
      <c r="AJ162" s="30"/>
      <c r="AK162" s="30">
        <f t="shared" si="91"/>
        <v>1395</v>
      </c>
      <c r="AL162" s="30"/>
      <c r="AM162" s="30">
        <f t="shared" si="92"/>
        <v>813</v>
      </c>
      <c r="AN162" s="30"/>
      <c r="AO162" s="30">
        <f t="shared" si="93"/>
        <v>697</v>
      </c>
      <c r="AP162" s="30"/>
      <c r="AQ162" s="30">
        <f t="shared" si="94"/>
        <v>1000</v>
      </c>
      <c r="AR162" s="30"/>
      <c r="AS162" s="30">
        <f t="shared" si="95"/>
        <v>1300</v>
      </c>
      <c r="AT162" s="30"/>
      <c r="AU162" s="30">
        <f t="shared" si="96"/>
        <v>1560</v>
      </c>
      <c r="AV162" s="30"/>
      <c r="AW162" s="30">
        <f t="shared" si="97"/>
        <v>1800</v>
      </c>
      <c r="AX162" s="30"/>
      <c r="AY162" s="30">
        <f t="shared" si="98"/>
        <v>2417</v>
      </c>
      <c r="AZ162" s="30"/>
      <c r="BA162" s="30">
        <f t="shared" si="99"/>
        <v>3800</v>
      </c>
      <c r="BB162" s="30"/>
      <c r="BC162" s="30">
        <f t="shared" si="100"/>
        <v>3300</v>
      </c>
      <c r="BD162" s="30"/>
      <c r="BE162" s="30">
        <f t="shared" si="101"/>
        <v>4367</v>
      </c>
      <c r="BF162" s="30"/>
      <c r="BG162" s="30">
        <f t="shared" si="102"/>
        <v>7000</v>
      </c>
      <c r="BH162" s="30"/>
      <c r="BI162" s="30">
        <f t="shared" si="103"/>
        <v>8000</v>
      </c>
      <c r="BJ162" s="30"/>
      <c r="BK162" s="30">
        <f t="shared" si="104"/>
        <v>0</v>
      </c>
      <c r="BL162" s="30"/>
      <c r="BM162" s="30">
        <f t="shared" si="105"/>
        <v>0</v>
      </c>
      <c r="BN162" s="45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</row>
    <row r="163" spans="16:90" ht="12.75">
      <c r="P163" s="44"/>
      <c r="Q163" s="44">
        <f t="shared" si="107"/>
        <v>5</v>
      </c>
      <c r="R163" s="68">
        <v>160</v>
      </c>
      <c r="S163" s="68" t="s">
        <v>140</v>
      </c>
      <c r="T163" s="30">
        <f t="shared" si="106"/>
        <v>5</v>
      </c>
      <c r="U163" s="30" t="str">
        <f>AE144</f>
        <v>MAXFLAM 30.1</v>
      </c>
      <c r="V163" s="30"/>
      <c r="W163" s="31">
        <f t="shared" si="84"/>
        <v>136.4</v>
      </c>
      <c r="X163" s="30"/>
      <c r="Y163" s="30">
        <f t="shared" si="85"/>
        <v>227</v>
      </c>
      <c r="Z163" s="30"/>
      <c r="AA163" s="30">
        <f t="shared" si="86"/>
        <v>175</v>
      </c>
      <c r="AB163" s="30"/>
      <c r="AC163" s="30">
        <f t="shared" si="87"/>
        <v>237</v>
      </c>
      <c r="AD163" s="30"/>
      <c r="AE163" s="30">
        <f t="shared" si="88"/>
        <v>205</v>
      </c>
      <c r="AF163" s="30"/>
      <c r="AG163" s="30">
        <f t="shared" si="89"/>
        <v>205</v>
      </c>
      <c r="AH163" s="30"/>
      <c r="AI163" s="30">
        <f t="shared" si="90"/>
        <v>930</v>
      </c>
      <c r="AJ163" s="30"/>
      <c r="AK163" s="30">
        <f t="shared" si="91"/>
        <v>1395</v>
      </c>
      <c r="AL163" s="30"/>
      <c r="AM163" s="30">
        <f t="shared" si="92"/>
        <v>697</v>
      </c>
      <c r="AN163" s="30"/>
      <c r="AO163" s="30">
        <f t="shared" si="93"/>
        <v>2034</v>
      </c>
      <c r="AP163" s="30"/>
      <c r="AQ163" s="30">
        <f t="shared" si="94"/>
        <v>3000</v>
      </c>
      <c r="AR163" s="30"/>
      <c r="AS163" s="30">
        <f t="shared" si="95"/>
        <v>1300</v>
      </c>
      <c r="AT163" s="30"/>
      <c r="AU163" s="30">
        <f t="shared" si="96"/>
        <v>5000</v>
      </c>
      <c r="AV163" s="30"/>
      <c r="AW163" s="30">
        <f t="shared" si="97"/>
        <v>5750</v>
      </c>
      <c r="AX163" s="30"/>
      <c r="AY163" s="30">
        <f t="shared" si="98"/>
        <v>2417</v>
      </c>
      <c r="AZ163" s="30"/>
      <c r="BA163" s="30">
        <f t="shared" si="99"/>
        <v>2750</v>
      </c>
      <c r="BB163" s="30"/>
      <c r="BC163" s="30">
        <f t="shared" si="100"/>
        <v>3300</v>
      </c>
      <c r="BD163" s="30"/>
      <c r="BE163" s="30">
        <f t="shared" si="101"/>
        <v>4367</v>
      </c>
      <c r="BF163" s="30"/>
      <c r="BG163" s="30">
        <f t="shared" si="102"/>
        <v>5000</v>
      </c>
      <c r="BH163" s="30"/>
      <c r="BI163" s="30">
        <f t="shared" si="103"/>
        <v>5600</v>
      </c>
      <c r="BJ163" s="30"/>
      <c r="BK163" s="30">
        <f t="shared" si="104"/>
        <v>0</v>
      </c>
      <c r="BL163" s="30"/>
      <c r="BM163" s="30">
        <f t="shared" si="105"/>
        <v>0</v>
      </c>
      <c r="BN163" s="45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</row>
    <row r="164" spans="16:90" ht="12.75">
      <c r="P164" s="44"/>
      <c r="Q164" s="44">
        <f t="shared" si="107"/>
        <v>6</v>
      </c>
      <c r="R164" s="68">
        <v>160</v>
      </c>
      <c r="S164" s="87" t="s">
        <v>140</v>
      </c>
      <c r="T164" s="30">
        <f t="shared" si="106"/>
        <v>6</v>
      </c>
      <c r="U164" s="30" t="str">
        <f>AG144</f>
        <v>MAXFLAM 50.1</v>
      </c>
      <c r="V164" s="30"/>
      <c r="W164" s="31">
        <f t="shared" si="84"/>
        <v>136.4</v>
      </c>
      <c r="X164" s="30"/>
      <c r="Y164" s="30">
        <f t="shared" si="85"/>
        <v>227</v>
      </c>
      <c r="Z164" s="30"/>
      <c r="AA164" s="30">
        <f t="shared" si="86"/>
        <v>175</v>
      </c>
      <c r="AB164" s="30"/>
      <c r="AC164" s="30">
        <f t="shared" si="87"/>
        <v>237</v>
      </c>
      <c r="AD164" s="30"/>
      <c r="AE164" s="30">
        <f t="shared" si="88"/>
        <v>410</v>
      </c>
      <c r="AF164" s="30"/>
      <c r="AG164" s="30">
        <f t="shared" si="89"/>
        <v>570</v>
      </c>
      <c r="AH164" s="30"/>
      <c r="AI164" s="30">
        <f t="shared" si="90"/>
        <v>930</v>
      </c>
      <c r="AJ164" s="30"/>
      <c r="AK164" s="30">
        <f t="shared" si="91"/>
        <v>1395</v>
      </c>
      <c r="AL164" s="30"/>
      <c r="AM164" s="30">
        <f t="shared" si="92"/>
        <v>1650</v>
      </c>
      <c r="AN164" s="30"/>
      <c r="AO164" s="30">
        <f t="shared" si="93"/>
        <v>2034</v>
      </c>
      <c r="AP164" s="30"/>
      <c r="AQ164" s="30">
        <f t="shared" si="94"/>
        <v>3000</v>
      </c>
      <c r="AR164" s="30"/>
      <c r="AS164" s="30">
        <f t="shared" si="95"/>
        <v>3900</v>
      </c>
      <c r="AT164" s="30"/>
      <c r="AU164" s="30">
        <f t="shared" si="96"/>
        <v>5000</v>
      </c>
      <c r="AV164" s="30"/>
      <c r="AW164" s="30">
        <f t="shared" si="97"/>
        <v>5750</v>
      </c>
      <c r="AX164" s="30"/>
      <c r="AY164" s="30">
        <f t="shared" si="98"/>
        <v>7250</v>
      </c>
      <c r="AZ164" s="30"/>
      <c r="BA164" s="30">
        <f t="shared" si="99"/>
        <v>2750</v>
      </c>
      <c r="BB164" s="30"/>
      <c r="BC164" s="30">
        <f t="shared" si="100"/>
        <v>10500</v>
      </c>
      <c r="BD164" s="30"/>
      <c r="BE164" s="30">
        <f t="shared" si="101"/>
        <v>13100</v>
      </c>
      <c r="BF164" s="30"/>
      <c r="BG164" s="30">
        <f t="shared" si="102"/>
        <v>5000</v>
      </c>
      <c r="BH164" s="30"/>
      <c r="BI164" s="30">
        <f t="shared" si="103"/>
        <v>5600</v>
      </c>
      <c r="BJ164" s="30"/>
      <c r="BK164" s="30">
        <f t="shared" si="104"/>
        <v>0</v>
      </c>
      <c r="BL164" s="30"/>
      <c r="BM164" s="30">
        <f t="shared" si="105"/>
        <v>0</v>
      </c>
      <c r="BN164" s="45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</row>
    <row r="165" spans="16:90" ht="12.75">
      <c r="P165" s="44"/>
      <c r="Q165" s="44">
        <f t="shared" si="107"/>
        <v>7</v>
      </c>
      <c r="R165" s="68">
        <v>185</v>
      </c>
      <c r="S165" s="68" t="s">
        <v>142</v>
      </c>
      <c r="T165" s="30">
        <f t="shared" si="106"/>
        <v>7</v>
      </c>
      <c r="U165" s="30" t="str">
        <f>AI144</f>
        <v>Oilflam 80.1</v>
      </c>
      <c r="V165" s="30"/>
      <c r="W165" s="31">
        <f t="shared" si="84"/>
        <v>136.4</v>
      </c>
      <c r="X165" s="30"/>
      <c r="Y165" s="30">
        <f t="shared" si="85"/>
        <v>227</v>
      </c>
      <c r="Z165" s="30"/>
      <c r="AA165" s="30">
        <f t="shared" si="86"/>
        <v>175</v>
      </c>
      <c r="AB165" s="30"/>
      <c r="AC165" s="30">
        <f t="shared" si="87"/>
        <v>237</v>
      </c>
      <c r="AD165" s="30"/>
      <c r="AE165" s="30">
        <f t="shared" si="88"/>
        <v>410</v>
      </c>
      <c r="AF165" s="30"/>
      <c r="AG165" s="30">
        <f t="shared" si="89"/>
        <v>570</v>
      </c>
      <c r="AH165" s="30"/>
      <c r="AI165" s="30">
        <f t="shared" si="90"/>
        <v>930</v>
      </c>
      <c r="AJ165" s="30"/>
      <c r="AK165" s="30">
        <f t="shared" si="91"/>
        <v>1395</v>
      </c>
      <c r="AL165" s="30"/>
      <c r="AM165" s="30">
        <f t="shared" si="92"/>
        <v>1650</v>
      </c>
      <c r="AN165" s="30"/>
      <c r="AO165" s="30">
        <f t="shared" si="93"/>
        <v>2034</v>
      </c>
      <c r="AP165" s="30"/>
      <c r="AQ165" s="30">
        <f t="shared" si="94"/>
        <v>3000</v>
      </c>
      <c r="AR165" s="30"/>
      <c r="AS165" s="30">
        <f t="shared" si="95"/>
        <v>3900</v>
      </c>
      <c r="AT165" s="30"/>
      <c r="AU165" s="30">
        <f t="shared" si="96"/>
        <v>5000</v>
      </c>
      <c r="AV165" s="30"/>
      <c r="AW165" s="30">
        <f t="shared" si="97"/>
        <v>5750</v>
      </c>
      <c r="AX165" s="30"/>
      <c r="AY165" s="30">
        <f t="shared" si="98"/>
        <v>7250</v>
      </c>
      <c r="AZ165" s="30"/>
      <c r="BA165" s="30">
        <f t="shared" si="99"/>
        <v>8500</v>
      </c>
      <c r="BB165" s="30"/>
      <c r="BC165" s="30">
        <f t="shared" si="100"/>
        <v>10500</v>
      </c>
      <c r="BD165" s="30"/>
      <c r="BE165" s="30">
        <f t="shared" si="101"/>
        <v>13100</v>
      </c>
      <c r="BF165" s="30"/>
      <c r="BG165" s="30">
        <f t="shared" si="102"/>
        <v>5000</v>
      </c>
      <c r="BH165" s="30"/>
      <c r="BI165" s="30">
        <f t="shared" si="103"/>
        <v>5600</v>
      </c>
      <c r="BJ165" s="30"/>
      <c r="BK165" s="30">
        <f t="shared" si="104"/>
        <v>0</v>
      </c>
      <c r="BL165" s="30"/>
      <c r="BM165" s="30">
        <f t="shared" si="105"/>
        <v>0</v>
      </c>
      <c r="BN165" s="45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</row>
    <row r="166" spans="16:90" ht="12.75">
      <c r="P166" s="44"/>
      <c r="Q166" s="44">
        <f t="shared" si="107"/>
        <v>8</v>
      </c>
      <c r="R166" s="68">
        <v>185</v>
      </c>
      <c r="S166" s="68" t="s">
        <v>142</v>
      </c>
      <c r="T166" s="30">
        <f t="shared" si="106"/>
        <v>8</v>
      </c>
      <c r="U166" s="30" t="str">
        <f>AK144</f>
        <v>Oilflam 120.1</v>
      </c>
      <c r="V166" s="30"/>
      <c r="W166" s="31">
        <f t="shared" si="84"/>
        <v>136.4</v>
      </c>
      <c r="X166" s="30"/>
      <c r="Y166" s="30">
        <f t="shared" si="85"/>
        <v>227</v>
      </c>
      <c r="Z166" s="30"/>
      <c r="AA166" s="30">
        <f t="shared" si="86"/>
        <v>175</v>
      </c>
      <c r="AB166" s="30"/>
      <c r="AC166" s="30">
        <f t="shared" si="87"/>
        <v>237</v>
      </c>
      <c r="AD166" s="30"/>
      <c r="AE166" s="30">
        <f t="shared" si="88"/>
        <v>410</v>
      </c>
      <c r="AF166" s="30"/>
      <c r="AG166" s="30">
        <f t="shared" si="89"/>
        <v>570</v>
      </c>
      <c r="AH166" s="30"/>
      <c r="AI166" s="30">
        <f t="shared" si="90"/>
        <v>930</v>
      </c>
      <c r="AJ166" s="30"/>
      <c r="AK166" s="30">
        <f t="shared" si="91"/>
        <v>1395</v>
      </c>
      <c r="AL166" s="30"/>
      <c r="AM166" s="30">
        <f t="shared" si="92"/>
        <v>1650</v>
      </c>
      <c r="AN166" s="30"/>
      <c r="AO166" s="30">
        <f t="shared" si="93"/>
        <v>2034</v>
      </c>
      <c r="AP166" s="30"/>
      <c r="AQ166" s="30">
        <f t="shared" si="94"/>
        <v>3000</v>
      </c>
      <c r="AR166" s="30"/>
      <c r="AS166" s="30">
        <f t="shared" si="95"/>
        <v>3900</v>
      </c>
      <c r="AT166" s="30"/>
      <c r="AU166" s="30">
        <f t="shared" si="96"/>
        <v>5000</v>
      </c>
      <c r="AV166" s="30"/>
      <c r="AW166" s="30">
        <f t="shared" si="97"/>
        <v>5750</v>
      </c>
      <c r="AX166" s="30"/>
      <c r="AY166" s="30">
        <f t="shared" si="98"/>
        <v>7250</v>
      </c>
      <c r="AZ166" s="30"/>
      <c r="BA166" s="30">
        <f t="shared" si="99"/>
        <v>8500</v>
      </c>
      <c r="BB166" s="30"/>
      <c r="BC166" s="30">
        <f t="shared" si="100"/>
        <v>10500</v>
      </c>
      <c r="BD166" s="30"/>
      <c r="BE166" s="30">
        <f t="shared" si="101"/>
        <v>13100</v>
      </c>
      <c r="BF166" s="30"/>
      <c r="BG166" s="30">
        <f t="shared" si="102"/>
        <v>5000</v>
      </c>
      <c r="BH166" s="30"/>
      <c r="BI166" s="30">
        <f t="shared" si="103"/>
        <v>5600</v>
      </c>
      <c r="BJ166" s="30"/>
      <c r="BK166" s="30">
        <f t="shared" si="104"/>
        <v>0</v>
      </c>
      <c r="BL166" s="30"/>
      <c r="BM166" s="30">
        <f t="shared" si="105"/>
        <v>0</v>
      </c>
      <c r="BN166" s="45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</row>
    <row r="167" spans="16:90" ht="12.75">
      <c r="P167" s="44"/>
      <c r="Q167" s="44">
        <f t="shared" si="107"/>
        <v>9</v>
      </c>
      <c r="R167" s="68">
        <v>250</v>
      </c>
      <c r="S167" s="68" t="s">
        <v>143</v>
      </c>
      <c r="T167" s="30">
        <f t="shared" si="106"/>
        <v>9</v>
      </c>
      <c r="U167" s="30" t="str">
        <f>AM144</f>
        <v>Oilflam 170.1</v>
      </c>
      <c r="V167" s="30"/>
      <c r="W167" s="31">
        <f t="shared" si="84"/>
        <v>136.4</v>
      </c>
      <c r="X167" s="30"/>
      <c r="Y167" s="30">
        <f t="shared" si="85"/>
        <v>227</v>
      </c>
      <c r="Z167" s="30"/>
      <c r="AA167" s="30">
        <f t="shared" si="86"/>
        <v>175</v>
      </c>
      <c r="AB167" s="30"/>
      <c r="AC167" s="30">
        <f t="shared" si="87"/>
        <v>237</v>
      </c>
      <c r="AD167" s="30"/>
      <c r="AE167" s="30">
        <f t="shared" si="88"/>
        <v>410</v>
      </c>
      <c r="AF167" s="30"/>
      <c r="AG167" s="30">
        <f t="shared" si="89"/>
        <v>570</v>
      </c>
      <c r="AH167" s="30"/>
      <c r="AI167" s="30">
        <f t="shared" si="90"/>
        <v>930</v>
      </c>
      <c r="AJ167" s="30"/>
      <c r="AK167" s="30">
        <f t="shared" si="91"/>
        <v>1395</v>
      </c>
      <c r="AL167" s="30"/>
      <c r="AM167" s="30">
        <f t="shared" si="92"/>
        <v>1650</v>
      </c>
      <c r="AN167" s="30"/>
      <c r="AO167" s="30">
        <f t="shared" si="93"/>
        <v>2034</v>
      </c>
      <c r="AP167" s="30"/>
      <c r="AQ167" s="30">
        <f t="shared" si="94"/>
        <v>3000</v>
      </c>
      <c r="AR167" s="30"/>
      <c r="AS167" s="30">
        <f t="shared" si="95"/>
        <v>3900</v>
      </c>
      <c r="AT167" s="30"/>
      <c r="AU167" s="30">
        <f t="shared" si="96"/>
        <v>5000</v>
      </c>
      <c r="AV167" s="30"/>
      <c r="AW167" s="30">
        <f t="shared" si="97"/>
        <v>5750</v>
      </c>
      <c r="AX167" s="30"/>
      <c r="AY167" s="30">
        <f t="shared" si="98"/>
        <v>7250</v>
      </c>
      <c r="AZ167" s="30"/>
      <c r="BA167" s="30">
        <f t="shared" si="99"/>
        <v>8500</v>
      </c>
      <c r="BB167" s="30"/>
      <c r="BC167" s="30">
        <f t="shared" si="100"/>
        <v>10500</v>
      </c>
      <c r="BD167" s="30"/>
      <c r="BE167" s="30">
        <f t="shared" si="101"/>
        <v>13100</v>
      </c>
      <c r="BF167" s="30"/>
      <c r="BG167" s="30">
        <f t="shared" si="102"/>
        <v>5000</v>
      </c>
      <c r="BH167" s="30"/>
      <c r="BI167" s="30">
        <f t="shared" si="103"/>
        <v>5600</v>
      </c>
      <c r="BJ167" s="30"/>
      <c r="BK167" s="30">
        <f t="shared" si="104"/>
        <v>0</v>
      </c>
      <c r="BL167" s="30"/>
      <c r="BM167" s="30">
        <f t="shared" si="105"/>
        <v>0</v>
      </c>
      <c r="BN167" s="45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</row>
    <row r="168" spans="16:90" ht="12.75">
      <c r="P168" s="44"/>
      <c r="Q168" s="44">
        <f t="shared" si="107"/>
        <v>10</v>
      </c>
      <c r="R168" s="68">
        <v>270</v>
      </c>
      <c r="S168" s="68" t="s">
        <v>143</v>
      </c>
      <c r="T168" s="30">
        <f t="shared" si="106"/>
        <v>10</v>
      </c>
      <c r="U168" s="30" t="str">
        <f>AO144</f>
        <v>Oilflam 200.1</v>
      </c>
      <c r="V168" s="30"/>
      <c r="W168" s="31">
        <f t="shared" si="84"/>
        <v>136.4</v>
      </c>
      <c r="X168" s="30"/>
      <c r="Y168" s="30">
        <f t="shared" si="85"/>
        <v>227</v>
      </c>
      <c r="Z168" s="30"/>
      <c r="AA168" s="30">
        <f t="shared" si="86"/>
        <v>175</v>
      </c>
      <c r="AB168" s="30"/>
      <c r="AC168" s="30">
        <f t="shared" si="87"/>
        <v>237</v>
      </c>
      <c r="AD168" s="30"/>
      <c r="AE168" s="30">
        <f t="shared" si="88"/>
        <v>410</v>
      </c>
      <c r="AF168" s="30"/>
      <c r="AG168" s="30">
        <f t="shared" si="89"/>
        <v>570</v>
      </c>
      <c r="AH168" s="30"/>
      <c r="AI168" s="30">
        <f t="shared" si="90"/>
        <v>930</v>
      </c>
      <c r="AJ168" s="30"/>
      <c r="AK168" s="30">
        <f t="shared" si="91"/>
        <v>1395</v>
      </c>
      <c r="AL168" s="30"/>
      <c r="AM168" s="30">
        <f t="shared" si="92"/>
        <v>1650</v>
      </c>
      <c r="AN168" s="30"/>
      <c r="AO168" s="30">
        <f t="shared" si="93"/>
        <v>2034</v>
      </c>
      <c r="AP168" s="30"/>
      <c r="AQ168" s="30">
        <f t="shared" si="94"/>
        <v>3000</v>
      </c>
      <c r="AR168" s="30"/>
      <c r="AS168" s="30">
        <f t="shared" si="95"/>
        <v>3900</v>
      </c>
      <c r="AT168" s="30"/>
      <c r="AU168" s="30">
        <f t="shared" si="96"/>
        <v>5000</v>
      </c>
      <c r="AV168" s="30"/>
      <c r="AW168" s="30">
        <f t="shared" si="97"/>
        <v>5750</v>
      </c>
      <c r="AX168" s="30"/>
      <c r="AY168" s="30">
        <f t="shared" si="98"/>
        <v>7250</v>
      </c>
      <c r="AZ168" s="30"/>
      <c r="BA168" s="30">
        <f t="shared" si="99"/>
        <v>8500</v>
      </c>
      <c r="BB168" s="30"/>
      <c r="BC168" s="30">
        <f t="shared" si="100"/>
        <v>10500</v>
      </c>
      <c r="BD168" s="30"/>
      <c r="BE168" s="30">
        <f t="shared" si="101"/>
        <v>13100</v>
      </c>
      <c r="BF168" s="30"/>
      <c r="BG168" s="30">
        <f t="shared" si="102"/>
        <v>5000</v>
      </c>
      <c r="BH168" s="30"/>
      <c r="BI168" s="30">
        <f t="shared" si="103"/>
        <v>5600</v>
      </c>
      <c r="BJ168" s="30"/>
      <c r="BK168" s="30">
        <f t="shared" si="104"/>
        <v>0</v>
      </c>
      <c r="BL168" s="30"/>
      <c r="BM168" s="30">
        <f t="shared" si="105"/>
        <v>0</v>
      </c>
      <c r="BN168" s="45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</row>
    <row r="169" spans="16:90" ht="12.75">
      <c r="P169" s="44"/>
      <c r="Q169" s="44">
        <f t="shared" si="107"/>
        <v>11</v>
      </c>
      <c r="R169" s="68">
        <v>290</v>
      </c>
      <c r="S169" s="68" t="s">
        <v>130</v>
      </c>
      <c r="T169" s="30">
        <f t="shared" si="106"/>
        <v>11</v>
      </c>
      <c r="U169" s="30" t="str">
        <f>AQ144</f>
        <v>Oilflam 300.1</v>
      </c>
      <c r="V169" s="30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</row>
    <row r="170" spans="16:90" ht="12.75">
      <c r="P170" s="44"/>
      <c r="Q170" s="44">
        <f t="shared" si="107"/>
        <v>12</v>
      </c>
      <c r="R170" s="68">
        <v>320</v>
      </c>
      <c r="S170" s="68" t="s">
        <v>130</v>
      </c>
      <c r="T170" s="30">
        <f t="shared" si="106"/>
        <v>12</v>
      </c>
      <c r="U170" s="30" t="str">
        <f>AS144</f>
        <v>oilflam 400.1</v>
      </c>
      <c r="V170" s="30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</row>
    <row r="171" spans="16:90" ht="12.75">
      <c r="P171" s="44"/>
      <c r="Q171" s="44">
        <f t="shared" si="107"/>
        <v>13</v>
      </c>
      <c r="R171" s="68">
        <v>320</v>
      </c>
      <c r="S171" s="68" t="s">
        <v>130</v>
      </c>
      <c r="T171" s="30">
        <f t="shared" si="106"/>
        <v>13</v>
      </c>
      <c r="U171" s="30" t="str">
        <f>AU144</f>
        <v>Oilflam 500.1</v>
      </c>
      <c r="V171" s="30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</row>
    <row r="172" spans="16:90" ht="12.75">
      <c r="P172" s="44"/>
      <c r="Q172" s="44">
        <f t="shared" si="107"/>
        <v>14</v>
      </c>
      <c r="R172" s="68">
        <v>320</v>
      </c>
      <c r="S172" s="68" t="s">
        <v>130</v>
      </c>
      <c r="T172" s="30">
        <f t="shared" si="106"/>
        <v>14</v>
      </c>
      <c r="U172" s="30" t="str">
        <f>AW144</f>
        <v>Oilflam 600.1</v>
      </c>
      <c r="V172" s="30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</row>
    <row r="173" spans="16:90" ht="12.75">
      <c r="P173" s="44"/>
      <c r="Q173" s="44">
        <f t="shared" si="107"/>
        <v>15</v>
      </c>
      <c r="R173" s="68">
        <v>425</v>
      </c>
      <c r="S173" s="68">
        <v>455</v>
      </c>
      <c r="T173" s="30">
        <f t="shared" si="106"/>
        <v>15</v>
      </c>
      <c r="U173" s="30" t="str">
        <f>AY144</f>
        <v>Oilflam 700.1</v>
      </c>
      <c r="V173" s="30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</row>
    <row r="174" spans="16:90" ht="12.75">
      <c r="P174" s="44"/>
      <c r="Q174" s="44">
        <f t="shared" si="107"/>
        <v>16</v>
      </c>
      <c r="R174" s="68">
        <v>425</v>
      </c>
      <c r="S174" s="68">
        <v>455</v>
      </c>
      <c r="T174" s="30">
        <f t="shared" si="106"/>
        <v>16</v>
      </c>
      <c r="U174" s="30" t="str">
        <f>BA144</f>
        <v>Oilflam 800.1</v>
      </c>
      <c r="V174" s="30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</row>
    <row r="175" spans="16:90" ht="12.75">
      <c r="P175" s="44"/>
      <c r="Q175" s="44">
        <f t="shared" si="107"/>
        <v>17</v>
      </c>
      <c r="R175" s="68">
        <v>425</v>
      </c>
      <c r="S175" s="68">
        <v>455</v>
      </c>
      <c r="T175" s="30">
        <f t="shared" si="106"/>
        <v>17</v>
      </c>
      <c r="U175" s="30" t="str">
        <f>BC144</f>
        <v>Oilflam 1000.1</v>
      </c>
      <c r="V175" s="30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</row>
    <row r="176" spans="16:90" ht="12.75">
      <c r="P176" s="44"/>
      <c r="Q176" s="44">
        <f t="shared" si="107"/>
        <v>18</v>
      </c>
      <c r="R176" s="68">
        <v>450</v>
      </c>
      <c r="S176" s="68">
        <v>455</v>
      </c>
      <c r="T176" s="30">
        <f t="shared" si="106"/>
        <v>18</v>
      </c>
      <c r="U176" s="30" t="str">
        <f>BE144</f>
        <v>Oilflam 1200.1</v>
      </c>
      <c r="V176" s="30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</row>
    <row r="177" spans="16:90" ht="12.75">
      <c r="P177" s="44"/>
      <c r="Q177" s="44">
        <f t="shared" si="107"/>
        <v>19</v>
      </c>
      <c r="R177" s="68">
        <v>550</v>
      </c>
      <c r="S177" s="68">
        <v>590</v>
      </c>
      <c r="T177" s="30">
        <f t="shared" si="106"/>
        <v>19</v>
      </c>
      <c r="U177" s="30" t="str">
        <f>BG144</f>
        <v>Oilflam 1500.1</v>
      </c>
      <c r="V177" s="30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</row>
    <row r="178" spans="16:90" ht="12.75">
      <c r="P178" s="44"/>
      <c r="Q178" s="44">
        <f t="shared" si="107"/>
        <v>20</v>
      </c>
      <c r="R178" s="68">
        <v>550</v>
      </c>
      <c r="S178" s="68">
        <v>590</v>
      </c>
      <c r="T178" s="30">
        <f t="shared" si="106"/>
        <v>20</v>
      </c>
      <c r="U178" s="30" t="str">
        <f>BI144</f>
        <v>Oilflam 1800.1</v>
      </c>
      <c r="V178" s="30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</row>
    <row r="179" spans="16:90" ht="12.75">
      <c r="P179" s="44"/>
      <c r="Q179" s="44">
        <f t="shared" si="107"/>
        <v>21</v>
      </c>
      <c r="R179" s="68"/>
      <c r="S179" s="68"/>
      <c r="T179" s="30">
        <f t="shared" si="106"/>
        <v>21</v>
      </c>
      <c r="U179" s="30">
        <f>BK144</f>
        <v>0</v>
      </c>
      <c r="V179" s="30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</row>
    <row r="180" spans="16:66" ht="12.75">
      <c r="P180" s="44"/>
      <c r="Q180" s="44">
        <f t="shared" si="107"/>
        <v>22</v>
      </c>
      <c r="R180" s="68"/>
      <c r="S180" s="68"/>
      <c r="T180" s="30">
        <f t="shared" si="106"/>
        <v>22</v>
      </c>
      <c r="U180" s="30">
        <f>BM144</f>
        <v>0</v>
      </c>
      <c r="V180" s="30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4"/>
      <c r="BN180" s="44"/>
    </row>
    <row r="181" spans="16:66" ht="12.75">
      <c r="P181" s="44"/>
      <c r="Q181" s="44">
        <f t="shared" si="107"/>
        <v>23</v>
      </c>
      <c r="R181" s="68"/>
      <c r="S181" s="68"/>
      <c r="T181" s="30"/>
      <c r="U181" s="30"/>
      <c r="V181" s="30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4"/>
      <c r="BN181" s="44"/>
    </row>
    <row r="182" spans="16:66" ht="12.75">
      <c r="P182" s="44"/>
      <c r="Q182" s="44">
        <f t="shared" si="107"/>
        <v>24</v>
      </c>
      <c r="R182" s="68"/>
      <c r="S182" s="68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4"/>
      <c r="BN182" s="44"/>
    </row>
    <row r="183" spans="16:64" ht="12.75">
      <c r="P183" s="44"/>
      <c r="Q183" s="44">
        <f t="shared" si="107"/>
        <v>25</v>
      </c>
      <c r="R183" s="68"/>
      <c r="S183" s="68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</row>
    <row r="184" spans="19:64" ht="12.75"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</row>
    <row r="185" spans="19:64" ht="12.75"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9:64" ht="12.75"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</row>
    <row r="187" spans="19:64" ht="12.75"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</row>
    <row r="188" spans="19:64" ht="12.75"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</row>
    <row r="189" spans="17:74" ht="13.5" thickBot="1"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</row>
    <row r="190" spans="16:74" ht="13.5" thickBot="1">
      <c r="P190" s="44"/>
      <c r="Q190" s="45"/>
      <c r="R190" s="45"/>
      <c r="S190" s="45"/>
      <c r="T190" s="45"/>
      <c r="U190" s="45"/>
      <c r="V190" s="45"/>
      <c r="W190" s="179" t="s">
        <v>107</v>
      </c>
      <c r="X190" s="180"/>
      <c r="Y190" s="181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</row>
    <row r="191" spans="16:74" ht="13.5" thickBot="1">
      <c r="P191" s="44"/>
      <c r="Q191" s="45"/>
      <c r="R191" s="46" t="b">
        <v>0</v>
      </c>
      <c r="S191" s="45"/>
      <c r="T191" s="45"/>
      <c r="U191" s="45"/>
      <c r="V191" s="45"/>
      <c r="W191" s="7">
        <v>1</v>
      </c>
      <c r="X191" s="7"/>
      <c r="Y191" s="7">
        <v>2</v>
      </c>
      <c r="Z191" s="8"/>
      <c r="AA191" s="7">
        <v>3</v>
      </c>
      <c r="AB191" s="7"/>
      <c r="AC191" s="7">
        <v>4</v>
      </c>
      <c r="AD191" s="7"/>
      <c r="AE191" s="7">
        <v>5</v>
      </c>
      <c r="AF191" s="7"/>
      <c r="AG191" s="45">
        <v>6</v>
      </c>
      <c r="AH191" s="46"/>
      <c r="AI191" s="45">
        <v>7</v>
      </c>
      <c r="AJ191" s="45"/>
      <c r="AK191" s="7">
        <v>8</v>
      </c>
      <c r="AL191" s="7"/>
      <c r="AM191" s="7">
        <v>9</v>
      </c>
      <c r="AN191" s="18"/>
      <c r="AO191" s="45">
        <v>10</v>
      </c>
      <c r="AP191" s="46"/>
      <c r="AQ191" s="45">
        <v>11</v>
      </c>
      <c r="AR191" s="40"/>
      <c r="AS191" s="40">
        <v>12</v>
      </c>
      <c r="AT191" s="40"/>
      <c r="AU191" s="40">
        <v>13</v>
      </c>
      <c r="AV191" s="40"/>
      <c r="AW191" s="45">
        <v>14</v>
      </c>
      <c r="AX191" s="45"/>
      <c r="AY191" s="45">
        <v>15</v>
      </c>
      <c r="AZ191" s="45"/>
      <c r="BA191" s="45">
        <v>16</v>
      </c>
      <c r="BB191" s="45"/>
      <c r="BC191" s="45">
        <v>17</v>
      </c>
      <c r="BD191" s="45"/>
      <c r="BE191" s="45">
        <v>18</v>
      </c>
      <c r="BF191" s="45"/>
      <c r="BG191" s="45">
        <v>18</v>
      </c>
      <c r="BH191" s="45"/>
      <c r="BI191" s="45">
        <v>20</v>
      </c>
      <c r="BJ191" s="45"/>
      <c r="BK191" s="45">
        <v>21</v>
      </c>
      <c r="BL191" s="45"/>
      <c r="BM191" s="7">
        <v>22</v>
      </c>
      <c r="BN191" s="7"/>
      <c r="BO191" s="7"/>
      <c r="BP191" s="7"/>
      <c r="BQ191" s="7"/>
      <c r="BR191" s="7"/>
      <c r="BS191" s="7"/>
      <c r="BT191" s="7"/>
      <c r="BU191" s="7"/>
      <c r="BV191" s="7"/>
    </row>
    <row r="192" spans="16:74" ht="13.5" thickBot="1">
      <c r="P192" s="44"/>
      <c r="Q192" s="45"/>
      <c r="R192" s="45"/>
      <c r="S192" s="45"/>
      <c r="T192" s="46">
        <f>IF(R191=FALSE,U188,T193)</f>
        <v>0</v>
      </c>
      <c r="U192" s="167" t="e">
        <f>HLOOKUP(T192,W191:BN216,2)</f>
        <v>#N/A</v>
      </c>
      <c r="V192" s="167"/>
      <c r="W192" s="168" t="s">
        <v>195</v>
      </c>
      <c r="X192" s="169"/>
      <c r="Y192" s="166" t="s">
        <v>196</v>
      </c>
      <c r="Z192" s="178"/>
      <c r="AA192" s="166" t="s">
        <v>197</v>
      </c>
      <c r="AB192" s="166"/>
      <c r="AC192" s="166" t="s">
        <v>198</v>
      </c>
      <c r="AD192" s="166"/>
      <c r="AE192" s="166" t="s">
        <v>199</v>
      </c>
      <c r="AF192" s="168"/>
      <c r="AG192" s="158" t="s">
        <v>149</v>
      </c>
      <c r="AH192" s="159"/>
      <c r="AI192" s="158" t="s">
        <v>150</v>
      </c>
      <c r="AJ192" s="159"/>
      <c r="AK192" s="158" t="s">
        <v>151</v>
      </c>
      <c r="AL192" s="159"/>
      <c r="AM192" s="158" t="s">
        <v>152</v>
      </c>
      <c r="AN192" s="159"/>
      <c r="AO192" s="158" t="s">
        <v>153</v>
      </c>
      <c r="AP192" s="159"/>
      <c r="AQ192" s="158" t="s">
        <v>154</v>
      </c>
      <c r="AR192" s="159"/>
      <c r="AS192" s="158" t="s">
        <v>155</v>
      </c>
      <c r="AT192" s="159"/>
      <c r="AU192" s="158" t="s">
        <v>156</v>
      </c>
      <c r="AV192" s="159"/>
      <c r="AW192" s="158" t="s">
        <v>157</v>
      </c>
      <c r="AX192" s="159"/>
      <c r="AY192" s="158" t="s">
        <v>158</v>
      </c>
      <c r="AZ192" s="159"/>
      <c r="BA192" s="158" t="s">
        <v>159</v>
      </c>
      <c r="BB192" s="159"/>
      <c r="BC192" s="158" t="s">
        <v>160</v>
      </c>
      <c r="BD192" s="159"/>
      <c r="BE192" s="158" t="s">
        <v>161</v>
      </c>
      <c r="BF192" s="159"/>
      <c r="BG192" s="158" t="s">
        <v>162</v>
      </c>
      <c r="BH192" s="159"/>
      <c r="BI192" s="158" t="s">
        <v>163</v>
      </c>
      <c r="BJ192" s="159"/>
      <c r="BK192" s="158" t="s">
        <v>164</v>
      </c>
      <c r="BL192" s="159"/>
      <c r="BM192" s="177"/>
      <c r="BN192" s="177"/>
      <c r="BO192" s="7"/>
      <c r="BP192" s="7"/>
      <c r="BQ192" s="7"/>
      <c r="BR192" s="7"/>
      <c r="BS192" s="7"/>
      <c r="BT192" s="7"/>
      <c r="BU192" s="7"/>
      <c r="BV192" s="7"/>
    </row>
    <row r="193" spans="16:74" ht="13.5" thickBot="1">
      <c r="P193" s="44"/>
      <c r="Q193" s="45"/>
      <c r="R193" s="45"/>
      <c r="S193" s="45"/>
      <c r="T193" s="45">
        <v>10</v>
      </c>
      <c r="U193" s="47" t="s">
        <v>5</v>
      </c>
      <c r="V193" s="47" t="s">
        <v>6</v>
      </c>
      <c r="W193" s="30" t="s">
        <v>5</v>
      </c>
      <c r="X193" s="30" t="s">
        <v>3</v>
      </c>
      <c r="Y193" s="30" t="s">
        <v>5</v>
      </c>
      <c r="Z193" s="30" t="s">
        <v>3</v>
      </c>
      <c r="AA193" s="30" t="s">
        <v>5</v>
      </c>
      <c r="AB193" s="30" t="s">
        <v>3</v>
      </c>
      <c r="AC193" s="30" t="s">
        <v>5</v>
      </c>
      <c r="AD193" s="30" t="s">
        <v>3</v>
      </c>
      <c r="AE193" s="41" t="s">
        <v>5</v>
      </c>
      <c r="AF193" s="52" t="s">
        <v>3</v>
      </c>
      <c r="AG193" s="35" t="s">
        <v>5</v>
      </c>
      <c r="AH193" s="36" t="s">
        <v>3</v>
      </c>
      <c r="AI193" s="31" t="s">
        <v>5</v>
      </c>
      <c r="AJ193" s="30" t="s">
        <v>3</v>
      </c>
      <c r="AK193" s="30" t="s">
        <v>5</v>
      </c>
      <c r="AL193" s="30" t="s">
        <v>3</v>
      </c>
      <c r="AM193" s="30" t="s">
        <v>5</v>
      </c>
      <c r="AN193" s="30" t="s">
        <v>3</v>
      </c>
      <c r="AO193" s="30" t="s">
        <v>5</v>
      </c>
      <c r="AP193" s="30" t="s">
        <v>3</v>
      </c>
      <c r="AQ193" s="30" t="s">
        <v>5</v>
      </c>
      <c r="AR193" s="30" t="s">
        <v>3</v>
      </c>
      <c r="AS193" s="30" t="s">
        <v>5</v>
      </c>
      <c r="AT193" s="30" t="s">
        <v>3</v>
      </c>
      <c r="AU193" s="30" t="s">
        <v>5</v>
      </c>
      <c r="AV193" s="30" t="s">
        <v>3</v>
      </c>
      <c r="AW193" s="30" t="s">
        <v>5</v>
      </c>
      <c r="AX193" s="30" t="s">
        <v>3</v>
      </c>
      <c r="AY193" s="30" t="s">
        <v>5</v>
      </c>
      <c r="AZ193" s="30" t="s">
        <v>3</v>
      </c>
      <c r="BA193" s="30" t="s">
        <v>5</v>
      </c>
      <c r="BB193" s="30" t="s">
        <v>3</v>
      </c>
      <c r="BC193" s="30" t="s">
        <v>5</v>
      </c>
      <c r="BD193" s="30" t="s">
        <v>3</v>
      </c>
      <c r="BE193" s="30" t="s">
        <v>5</v>
      </c>
      <c r="BF193" s="30" t="s">
        <v>3</v>
      </c>
      <c r="BG193" s="30" t="s">
        <v>5</v>
      </c>
      <c r="BH193" s="30" t="s">
        <v>3</v>
      </c>
      <c r="BI193" s="30" t="s">
        <v>5</v>
      </c>
      <c r="BJ193" s="30" t="s">
        <v>3</v>
      </c>
      <c r="BK193" s="30" t="s">
        <v>5</v>
      </c>
      <c r="BL193" s="30" t="s">
        <v>3</v>
      </c>
      <c r="BM193" s="10" t="s">
        <v>5</v>
      </c>
      <c r="BN193" s="10" t="s">
        <v>3</v>
      </c>
      <c r="BO193" s="7"/>
      <c r="BP193" s="7"/>
      <c r="BQ193" s="7"/>
      <c r="BR193" s="7"/>
      <c r="BS193" s="7"/>
      <c r="BT193" s="7"/>
      <c r="BU193" s="7"/>
      <c r="BV193" s="7"/>
    </row>
    <row r="194" spans="16:74" ht="13.5" thickBot="1">
      <c r="P194" s="44"/>
      <c r="Q194" s="45"/>
      <c r="R194" s="45"/>
      <c r="S194" s="45"/>
      <c r="T194" s="45"/>
      <c r="U194" s="33" t="e">
        <f>HLOOKUP($T$192,$W$191:$BN$217,4)</f>
        <v>#N/A</v>
      </c>
      <c r="V194" s="33" t="e">
        <f>HLOOKUP($T$192,$W$191:$BN$217,16)*T2</f>
        <v>#N/A</v>
      </c>
      <c r="W194" s="30">
        <v>0</v>
      </c>
      <c r="X194" s="30">
        <v>40</v>
      </c>
      <c r="Y194" s="30">
        <v>0</v>
      </c>
      <c r="Z194" s="30">
        <v>65</v>
      </c>
      <c r="AA194" s="30">
        <v>0</v>
      </c>
      <c r="AB194" s="30">
        <v>110</v>
      </c>
      <c r="AC194" s="30">
        <v>0</v>
      </c>
      <c r="AD194" s="30">
        <v>200</v>
      </c>
      <c r="AE194" s="30">
        <v>0</v>
      </c>
      <c r="AF194" s="32">
        <v>345</v>
      </c>
      <c r="AG194" s="33">
        <v>0</v>
      </c>
      <c r="AH194" s="34">
        <v>500</v>
      </c>
      <c r="AI194" s="35">
        <v>0</v>
      </c>
      <c r="AJ194" s="36">
        <v>700</v>
      </c>
      <c r="AK194" s="31">
        <v>0</v>
      </c>
      <c r="AL194" s="30">
        <v>1000</v>
      </c>
      <c r="AM194" s="30">
        <v>0</v>
      </c>
      <c r="AN194" s="30">
        <v>1300</v>
      </c>
      <c r="AO194" s="30">
        <v>0</v>
      </c>
      <c r="AP194" s="30">
        <v>1770</v>
      </c>
      <c r="AQ194" s="30">
        <v>0</v>
      </c>
      <c r="AR194" s="30">
        <v>2150</v>
      </c>
      <c r="AS194" s="30">
        <v>0</v>
      </c>
      <c r="AT194" s="30">
        <v>3000</v>
      </c>
      <c r="AU194" s="30">
        <v>0</v>
      </c>
      <c r="AV194" s="30">
        <v>3900</v>
      </c>
      <c r="AW194" s="30">
        <v>0</v>
      </c>
      <c r="AX194" s="30">
        <v>5000</v>
      </c>
      <c r="AY194" s="30">
        <v>0</v>
      </c>
      <c r="AZ194" s="30">
        <v>5800</v>
      </c>
      <c r="BA194" s="30">
        <v>0</v>
      </c>
      <c r="BB194" s="30">
        <v>7500</v>
      </c>
      <c r="BC194" s="30">
        <v>0</v>
      </c>
      <c r="BD194" s="30">
        <v>8500</v>
      </c>
      <c r="BE194" s="30">
        <v>0</v>
      </c>
      <c r="BF194" s="30">
        <v>10500</v>
      </c>
      <c r="BG194" s="42">
        <v>0</v>
      </c>
      <c r="BH194" s="42">
        <v>13100</v>
      </c>
      <c r="BI194" s="30">
        <v>0</v>
      </c>
      <c r="BJ194" s="30">
        <v>15000</v>
      </c>
      <c r="BK194" s="30">
        <v>0</v>
      </c>
      <c r="BL194" s="30">
        <v>17000</v>
      </c>
      <c r="BM194" s="77"/>
      <c r="BN194" s="77"/>
      <c r="BO194" s="76"/>
      <c r="BP194" s="76"/>
      <c r="BQ194" s="76"/>
      <c r="BR194" s="76"/>
      <c r="BS194" s="76"/>
      <c r="BT194" s="7"/>
      <c r="BU194" s="7"/>
      <c r="BV194" s="7"/>
    </row>
    <row r="195" spans="16:74" ht="13.5" thickBot="1">
      <c r="P195" s="44"/>
      <c r="Q195" s="45"/>
      <c r="R195" s="45"/>
      <c r="S195" s="45"/>
      <c r="T195" s="45"/>
      <c r="U195" s="33" t="e">
        <f>HLOOKUP($T$192,$W$191:$BN$217,5)</f>
        <v>#N/A</v>
      </c>
      <c r="V195" s="33" t="e">
        <f>HLOOKUP($T$192,$W$191:$BN$217,17)*T2</f>
        <v>#N/A</v>
      </c>
      <c r="W195" s="30">
        <v>0.5</v>
      </c>
      <c r="X195" s="30">
        <v>37</v>
      </c>
      <c r="Y195" s="30">
        <v>0.4</v>
      </c>
      <c r="Z195" s="30">
        <v>58</v>
      </c>
      <c r="AA195" s="30">
        <v>0.2</v>
      </c>
      <c r="AB195" s="30">
        <v>108</v>
      </c>
      <c r="AC195" s="30">
        <v>3.1</v>
      </c>
      <c r="AD195" s="30">
        <v>161</v>
      </c>
      <c r="AE195" s="30">
        <v>0.5</v>
      </c>
      <c r="AF195" s="32">
        <v>345</v>
      </c>
      <c r="AG195" s="35">
        <v>1.5</v>
      </c>
      <c r="AH195" s="32">
        <v>500</v>
      </c>
      <c r="AI195" s="35">
        <v>2.2</v>
      </c>
      <c r="AJ195" s="36">
        <v>700</v>
      </c>
      <c r="AK195" s="31">
        <v>1.5</v>
      </c>
      <c r="AL195" s="30">
        <v>970</v>
      </c>
      <c r="AM195" s="30">
        <v>2.5</v>
      </c>
      <c r="AN195" s="30">
        <v>1220</v>
      </c>
      <c r="AO195" s="30">
        <v>10</v>
      </c>
      <c r="AP195" s="30">
        <v>1500</v>
      </c>
      <c r="AQ195" s="30">
        <v>11</v>
      </c>
      <c r="AR195" s="30">
        <v>1750</v>
      </c>
      <c r="AS195" s="30">
        <v>13</v>
      </c>
      <c r="AT195" s="30">
        <v>2400</v>
      </c>
      <c r="AU195" s="30">
        <v>2.5</v>
      </c>
      <c r="AV195" s="30">
        <v>3800</v>
      </c>
      <c r="AW195" s="30">
        <v>18</v>
      </c>
      <c r="AX195" s="30">
        <v>3500</v>
      </c>
      <c r="AY195" s="30">
        <v>20</v>
      </c>
      <c r="AZ195" s="30">
        <v>4350</v>
      </c>
      <c r="BA195" s="30">
        <v>4</v>
      </c>
      <c r="BB195" s="30">
        <v>7500</v>
      </c>
      <c r="BC195" s="30">
        <v>10</v>
      </c>
      <c r="BD195" s="30">
        <v>8250</v>
      </c>
      <c r="BE195" s="30">
        <v>15</v>
      </c>
      <c r="BF195" s="30">
        <v>9000</v>
      </c>
      <c r="BG195" s="42">
        <v>24</v>
      </c>
      <c r="BH195" s="42">
        <v>10500</v>
      </c>
      <c r="BI195" s="30">
        <v>6</v>
      </c>
      <c r="BJ195" s="30">
        <v>15000</v>
      </c>
      <c r="BK195" s="30">
        <v>8</v>
      </c>
      <c r="BL195" s="30">
        <v>17000</v>
      </c>
      <c r="BM195" s="77"/>
      <c r="BN195" s="77"/>
      <c r="BO195" s="76"/>
      <c r="BP195" s="76"/>
      <c r="BQ195" s="76"/>
      <c r="BR195" s="76"/>
      <c r="BS195" s="76"/>
      <c r="BT195" s="7"/>
      <c r="BU195" s="7"/>
      <c r="BV195" s="7"/>
    </row>
    <row r="196" spans="16:74" ht="13.5" thickBot="1">
      <c r="P196" s="69"/>
      <c r="Q196" s="70"/>
      <c r="R196" s="45"/>
      <c r="S196" s="45"/>
      <c r="T196" s="45"/>
      <c r="U196" s="33" t="e">
        <f>HLOOKUP($T$192,$W$191:$BN$217,6)</f>
        <v>#N/A</v>
      </c>
      <c r="V196" s="33" t="e">
        <f>HLOOKUP($T$192,$W$191:$BN$217,18)*T2</f>
        <v>#N/A</v>
      </c>
      <c r="W196" s="30">
        <v>0.5</v>
      </c>
      <c r="X196" s="30">
        <v>24</v>
      </c>
      <c r="Y196" s="30">
        <v>0.4</v>
      </c>
      <c r="Z196" s="30">
        <v>34</v>
      </c>
      <c r="AA196" s="30">
        <v>1.2</v>
      </c>
      <c r="AB196" s="30">
        <v>94</v>
      </c>
      <c r="AC196" s="30">
        <v>3.1</v>
      </c>
      <c r="AD196" s="30">
        <v>110</v>
      </c>
      <c r="AE196" s="30">
        <v>2.5</v>
      </c>
      <c r="AF196" s="32">
        <v>318</v>
      </c>
      <c r="AG196" s="35">
        <v>3.6</v>
      </c>
      <c r="AH196" s="32">
        <v>490</v>
      </c>
      <c r="AI196" s="35">
        <v>5.5</v>
      </c>
      <c r="AJ196" s="36">
        <v>580</v>
      </c>
      <c r="AK196" s="31">
        <v>8.5</v>
      </c>
      <c r="AL196" s="30">
        <v>700</v>
      </c>
      <c r="AM196" s="30">
        <v>8.7</v>
      </c>
      <c r="AN196" s="30">
        <v>900</v>
      </c>
      <c r="AO196" s="30">
        <v>10</v>
      </c>
      <c r="AP196" s="30">
        <v>700</v>
      </c>
      <c r="AQ196" s="30">
        <v>11</v>
      </c>
      <c r="AR196" s="30">
        <v>900</v>
      </c>
      <c r="AS196" s="30">
        <v>13</v>
      </c>
      <c r="AT196" s="30">
        <v>1600</v>
      </c>
      <c r="AU196" s="30">
        <v>15</v>
      </c>
      <c r="AV196" s="30">
        <v>2900</v>
      </c>
      <c r="AW196" s="30">
        <v>18</v>
      </c>
      <c r="AX196" s="30">
        <v>1600</v>
      </c>
      <c r="AY196" s="30">
        <v>20</v>
      </c>
      <c r="AZ196" s="30">
        <v>2125</v>
      </c>
      <c r="BA196" s="30">
        <v>22</v>
      </c>
      <c r="BB196" s="30">
        <v>5200</v>
      </c>
      <c r="BC196" s="30">
        <v>14.5</v>
      </c>
      <c r="BD196" s="30">
        <v>8000</v>
      </c>
      <c r="BE196" s="30">
        <v>28</v>
      </c>
      <c r="BF196" s="30">
        <v>7250</v>
      </c>
      <c r="BG196" s="42">
        <v>34</v>
      </c>
      <c r="BH196" s="42">
        <v>8800</v>
      </c>
      <c r="BI196" s="30">
        <v>30</v>
      </c>
      <c r="BJ196" s="30">
        <v>12200</v>
      </c>
      <c r="BK196" s="30">
        <v>32</v>
      </c>
      <c r="BL196" s="30">
        <v>13900</v>
      </c>
      <c r="BM196" s="77"/>
      <c r="BN196" s="77"/>
      <c r="BO196" s="76"/>
      <c r="BP196" s="76"/>
      <c r="BQ196" s="76"/>
      <c r="BR196" s="76"/>
      <c r="BS196" s="76"/>
      <c r="BT196" s="7"/>
      <c r="BU196" s="7"/>
      <c r="BV196" s="7"/>
    </row>
    <row r="197" spans="16:74" ht="13.5" thickBot="1">
      <c r="P197" s="156" t="s">
        <v>111</v>
      </c>
      <c r="Q197" s="157"/>
      <c r="R197" s="45"/>
      <c r="S197" s="45"/>
      <c r="T197" s="45"/>
      <c r="U197" s="33" t="e">
        <f>HLOOKUP($T$192,$W$191:$BN$217,7)</f>
        <v>#N/A</v>
      </c>
      <c r="V197" s="33" t="e">
        <f>HLOOKUP($T$192,$W$191:$BN$217,19)*T2</f>
        <v>#N/A</v>
      </c>
      <c r="W197" s="30">
        <v>0</v>
      </c>
      <c r="X197" s="30">
        <v>23</v>
      </c>
      <c r="Y197" s="30">
        <v>0</v>
      </c>
      <c r="Z197" s="30">
        <v>34</v>
      </c>
      <c r="AA197" s="30">
        <v>1.2</v>
      </c>
      <c r="AB197" s="30">
        <v>69</v>
      </c>
      <c r="AC197" s="30">
        <v>0</v>
      </c>
      <c r="AD197" s="30">
        <v>110</v>
      </c>
      <c r="AE197" s="30">
        <v>2.5</v>
      </c>
      <c r="AF197" s="32">
        <v>202</v>
      </c>
      <c r="AG197" s="35">
        <v>7.7</v>
      </c>
      <c r="AH197" s="32">
        <v>360</v>
      </c>
      <c r="AI197" s="35">
        <v>8.2</v>
      </c>
      <c r="AJ197" s="36">
        <v>450</v>
      </c>
      <c r="AK197" s="31">
        <v>8.5</v>
      </c>
      <c r="AL197" s="30">
        <v>420</v>
      </c>
      <c r="AM197" s="30">
        <v>8.7</v>
      </c>
      <c r="AN197" s="30">
        <v>650</v>
      </c>
      <c r="AO197" s="30">
        <v>6</v>
      </c>
      <c r="AP197" s="30">
        <v>342</v>
      </c>
      <c r="AQ197" s="30">
        <v>5.5</v>
      </c>
      <c r="AR197" s="30">
        <v>414</v>
      </c>
      <c r="AS197" s="30">
        <v>6</v>
      </c>
      <c r="AT197" s="30">
        <v>630</v>
      </c>
      <c r="AU197" s="30">
        <v>15</v>
      </c>
      <c r="AV197" s="30">
        <v>2100</v>
      </c>
      <c r="AW197" s="30">
        <v>6</v>
      </c>
      <c r="AX197" s="30">
        <v>1200</v>
      </c>
      <c r="AY197" s="30">
        <v>12</v>
      </c>
      <c r="AZ197" s="30">
        <v>1500</v>
      </c>
      <c r="BA197" s="30">
        <v>22</v>
      </c>
      <c r="BB197" s="30">
        <v>2750</v>
      </c>
      <c r="BC197" s="30">
        <v>24</v>
      </c>
      <c r="BD197" s="30">
        <v>6500</v>
      </c>
      <c r="BE197" s="30">
        <v>28</v>
      </c>
      <c r="BF197" s="30">
        <v>4800</v>
      </c>
      <c r="BG197" s="42">
        <v>34</v>
      </c>
      <c r="BH197" s="42">
        <v>5250</v>
      </c>
      <c r="BI197" s="30">
        <v>36</v>
      </c>
      <c r="BJ197" s="30">
        <v>11000</v>
      </c>
      <c r="BK197" s="30">
        <v>38</v>
      </c>
      <c r="BL197" s="30">
        <v>12900</v>
      </c>
      <c r="BM197" s="77"/>
      <c r="BN197" s="77"/>
      <c r="BO197" s="76"/>
      <c r="BP197" s="76"/>
      <c r="BQ197" s="76"/>
      <c r="BR197" s="76"/>
      <c r="BS197" s="76"/>
      <c r="BT197" s="7"/>
      <c r="BU197" s="7"/>
      <c r="BV197" s="7"/>
    </row>
    <row r="198" spans="16:74" ht="13.5" thickBot="1">
      <c r="P198" s="69" t="s">
        <v>112</v>
      </c>
      <c r="Q198" s="71" t="s">
        <v>113</v>
      </c>
      <c r="R198" s="45"/>
      <c r="S198" s="45"/>
      <c r="T198" s="45"/>
      <c r="U198" s="33" t="e">
        <f>HLOOKUP($T$192,$W$191:$BN$217,8)</f>
        <v>#N/A</v>
      </c>
      <c r="V198" s="33" t="e">
        <f>HLOOKUP($T$192,$W$191:$BN$217,20)*T2</f>
        <v>#N/A</v>
      </c>
      <c r="W198" s="30">
        <v>0</v>
      </c>
      <c r="X198" s="30">
        <v>40</v>
      </c>
      <c r="Y198" s="30">
        <v>0</v>
      </c>
      <c r="Z198" s="30">
        <v>65</v>
      </c>
      <c r="AA198" s="30">
        <v>0.2</v>
      </c>
      <c r="AB198" s="30">
        <v>58</v>
      </c>
      <c r="AC198" s="30">
        <v>3</v>
      </c>
      <c r="AD198" s="30">
        <v>110</v>
      </c>
      <c r="AE198" s="30">
        <v>2.2</v>
      </c>
      <c r="AF198" s="32">
        <v>171</v>
      </c>
      <c r="AG198" s="35">
        <v>7.7</v>
      </c>
      <c r="AH198" s="32">
        <v>270</v>
      </c>
      <c r="AI198" s="35">
        <v>8.2</v>
      </c>
      <c r="AJ198" s="36">
        <v>370</v>
      </c>
      <c r="AK198" s="31">
        <v>0</v>
      </c>
      <c r="AL198" s="30">
        <v>200</v>
      </c>
      <c r="AM198" s="30">
        <v>0</v>
      </c>
      <c r="AN198" s="30">
        <v>250</v>
      </c>
      <c r="AO198" s="30">
        <v>0</v>
      </c>
      <c r="AP198" s="30">
        <v>342</v>
      </c>
      <c r="AQ198" s="30">
        <v>0</v>
      </c>
      <c r="AR198" s="30">
        <v>414</v>
      </c>
      <c r="AS198" s="30">
        <v>0</v>
      </c>
      <c r="AT198" s="30">
        <v>630</v>
      </c>
      <c r="AU198" s="30">
        <v>6.8</v>
      </c>
      <c r="AV198" s="30">
        <v>875</v>
      </c>
      <c r="AW198" s="30">
        <v>0</v>
      </c>
      <c r="AX198" s="30">
        <v>1200</v>
      </c>
      <c r="AY198" s="30">
        <v>0</v>
      </c>
      <c r="AZ198" s="30">
        <v>1500</v>
      </c>
      <c r="BA198" s="30">
        <v>12</v>
      </c>
      <c r="BB198" s="30">
        <v>1500</v>
      </c>
      <c r="BC198" s="30">
        <v>24</v>
      </c>
      <c r="BD198" s="30">
        <v>6500</v>
      </c>
      <c r="BE198" s="30">
        <v>12</v>
      </c>
      <c r="BF198" s="30">
        <v>2500</v>
      </c>
      <c r="BG198" s="42">
        <v>15</v>
      </c>
      <c r="BH198" s="42">
        <v>2700</v>
      </c>
      <c r="BI198" s="30">
        <v>36</v>
      </c>
      <c r="BJ198" s="30">
        <v>7000</v>
      </c>
      <c r="BK198" s="30">
        <v>38</v>
      </c>
      <c r="BL198" s="30">
        <v>8000</v>
      </c>
      <c r="BM198" s="77"/>
      <c r="BN198" s="77"/>
      <c r="BO198" s="76"/>
      <c r="BP198" s="76"/>
      <c r="BQ198" s="76"/>
      <c r="BR198" s="76"/>
      <c r="BS198" s="76"/>
      <c r="BT198" s="7"/>
      <c r="BU198" s="7"/>
      <c r="BV198" s="7"/>
    </row>
    <row r="199" spans="16:74" ht="13.5" thickBot="1">
      <c r="P199" s="72" t="e">
        <f>VLOOKUP(T192,Q207:S231,2)</f>
        <v>#N/A</v>
      </c>
      <c r="Q199" s="72" t="e">
        <f>VLOOKUP(T192,Q207:S231,3)</f>
        <v>#N/A</v>
      </c>
      <c r="R199" s="45"/>
      <c r="S199" s="45"/>
      <c r="T199" s="45"/>
      <c r="U199" s="33" t="e">
        <f>HLOOKUP($T$192,$W$191:$BN$217,9)</f>
        <v>#N/A</v>
      </c>
      <c r="V199" s="33" t="e">
        <f>HLOOKUP($T$192,$W$191:$BN$217,21)*T2</f>
        <v>#N/A</v>
      </c>
      <c r="W199" s="30">
        <v>0</v>
      </c>
      <c r="X199" s="30">
        <v>40</v>
      </c>
      <c r="Y199" s="30">
        <v>0</v>
      </c>
      <c r="Z199" s="30">
        <v>65</v>
      </c>
      <c r="AA199" s="30">
        <v>0</v>
      </c>
      <c r="AB199" s="30">
        <v>58</v>
      </c>
      <c r="AC199" s="30">
        <v>1.9</v>
      </c>
      <c r="AD199" s="30">
        <v>100</v>
      </c>
      <c r="AE199" s="30">
        <v>0.7</v>
      </c>
      <c r="AF199" s="32">
        <v>110</v>
      </c>
      <c r="AG199" s="35">
        <v>0</v>
      </c>
      <c r="AH199" s="32">
        <v>120</v>
      </c>
      <c r="AI199" s="35">
        <v>0</v>
      </c>
      <c r="AJ199" s="36">
        <v>190</v>
      </c>
      <c r="AK199" s="31">
        <v>0</v>
      </c>
      <c r="AL199" s="30">
        <v>1000</v>
      </c>
      <c r="AM199" s="30">
        <v>0</v>
      </c>
      <c r="AN199" s="30">
        <v>1300</v>
      </c>
      <c r="AO199" s="30">
        <v>0</v>
      </c>
      <c r="AP199" s="30">
        <v>1770</v>
      </c>
      <c r="AQ199" s="30">
        <v>0</v>
      </c>
      <c r="AR199" s="30">
        <v>2150</v>
      </c>
      <c r="AS199" s="30">
        <v>0</v>
      </c>
      <c r="AT199" s="30">
        <v>3000</v>
      </c>
      <c r="AU199" s="30">
        <v>0</v>
      </c>
      <c r="AV199" s="30">
        <v>875</v>
      </c>
      <c r="AW199" s="30">
        <v>0</v>
      </c>
      <c r="AX199" s="30">
        <v>5000</v>
      </c>
      <c r="AY199" s="30">
        <v>0</v>
      </c>
      <c r="AZ199" s="30">
        <v>5800</v>
      </c>
      <c r="BA199" s="30">
        <v>0</v>
      </c>
      <c r="BB199" s="30">
        <v>1500</v>
      </c>
      <c r="BC199" s="30">
        <v>24</v>
      </c>
      <c r="BD199" s="30">
        <v>3750</v>
      </c>
      <c r="BE199" s="30">
        <v>0</v>
      </c>
      <c r="BF199" s="30">
        <v>2500</v>
      </c>
      <c r="BG199" s="42">
        <v>0</v>
      </c>
      <c r="BH199" s="42">
        <v>2700</v>
      </c>
      <c r="BI199" s="30">
        <v>17</v>
      </c>
      <c r="BJ199" s="30">
        <v>3700</v>
      </c>
      <c r="BK199" s="30">
        <v>17</v>
      </c>
      <c r="BL199" s="30">
        <v>4000</v>
      </c>
      <c r="BM199" s="77"/>
      <c r="BN199" s="77"/>
      <c r="BO199" s="76"/>
      <c r="BP199" s="76"/>
      <c r="BQ199" s="76"/>
      <c r="BR199" s="76"/>
      <c r="BS199" s="76"/>
      <c r="BT199" s="7"/>
      <c r="BU199" s="7"/>
      <c r="BV199" s="7"/>
    </row>
    <row r="200" spans="16:74" ht="13.5" thickBot="1">
      <c r="P200" s="44"/>
      <c r="Q200" s="45"/>
      <c r="R200" s="45"/>
      <c r="S200" s="45"/>
      <c r="T200" s="45"/>
      <c r="U200" s="33" t="e">
        <f>HLOOKUP($T$192,$W$191:$BN$217,10)</f>
        <v>#N/A</v>
      </c>
      <c r="V200" s="33" t="e">
        <f>HLOOKUP($T$192,$W$191:$BN$217,22)*T2</f>
        <v>#N/A</v>
      </c>
      <c r="W200" s="30">
        <v>0</v>
      </c>
      <c r="X200" s="30">
        <v>40</v>
      </c>
      <c r="Y200" s="30">
        <v>0</v>
      </c>
      <c r="Z200" s="30">
        <v>65</v>
      </c>
      <c r="AA200" s="30">
        <v>0</v>
      </c>
      <c r="AB200" s="30">
        <v>110</v>
      </c>
      <c r="AC200" s="30">
        <v>0</v>
      </c>
      <c r="AD200" s="30">
        <v>100</v>
      </c>
      <c r="AE200" s="30">
        <v>0</v>
      </c>
      <c r="AF200" s="32">
        <v>110</v>
      </c>
      <c r="AG200" s="35">
        <v>0</v>
      </c>
      <c r="AH200" s="32">
        <v>500</v>
      </c>
      <c r="AI200" s="35">
        <v>0</v>
      </c>
      <c r="AJ200" s="36">
        <v>700</v>
      </c>
      <c r="AK200" s="31">
        <v>0</v>
      </c>
      <c r="AL200" s="30">
        <v>1000</v>
      </c>
      <c r="AM200" s="30">
        <v>0</v>
      </c>
      <c r="AN200" s="30">
        <v>1300</v>
      </c>
      <c r="AO200" s="30">
        <v>0</v>
      </c>
      <c r="AP200" s="30">
        <v>1770</v>
      </c>
      <c r="AQ200" s="30">
        <v>0</v>
      </c>
      <c r="AR200" s="30">
        <v>2150</v>
      </c>
      <c r="AS200" s="30">
        <v>0</v>
      </c>
      <c r="AT200" s="30">
        <v>3000</v>
      </c>
      <c r="AU200" s="30">
        <v>0</v>
      </c>
      <c r="AV200" s="30">
        <v>3900</v>
      </c>
      <c r="AW200" s="30">
        <v>0</v>
      </c>
      <c r="AX200" s="30">
        <v>5000</v>
      </c>
      <c r="AY200" s="30">
        <v>0</v>
      </c>
      <c r="AZ200" s="30">
        <v>5800</v>
      </c>
      <c r="BA200" s="30">
        <v>0</v>
      </c>
      <c r="BB200" s="30">
        <v>7250</v>
      </c>
      <c r="BC200" s="30">
        <v>12</v>
      </c>
      <c r="BD200" s="30">
        <v>2000</v>
      </c>
      <c r="BE200" s="30">
        <v>0</v>
      </c>
      <c r="BF200" s="30">
        <v>10500</v>
      </c>
      <c r="BG200" s="42">
        <v>0</v>
      </c>
      <c r="BH200" s="42">
        <v>13100</v>
      </c>
      <c r="BI200" s="30">
        <v>0</v>
      </c>
      <c r="BJ200" s="30">
        <v>3700</v>
      </c>
      <c r="BK200" s="30">
        <v>0</v>
      </c>
      <c r="BL200" s="30">
        <v>4000</v>
      </c>
      <c r="BM200" s="77"/>
      <c r="BN200" s="77"/>
      <c r="BO200" s="76"/>
      <c r="BP200" s="76"/>
      <c r="BQ200" s="76"/>
      <c r="BR200" s="76"/>
      <c r="BS200" s="76"/>
      <c r="BT200" s="7"/>
      <c r="BU200" s="7"/>
      <c r="BV200" s="7"/>
    </row>
    <row r="201" spans="16:74" ht="13.5" thickBot="1">
      <c r="P201" s="44"/>
      <c r="Q201" s="45"/>
      <c r="R201" s="45"/>
      <c r="S201" s="45"/>
      <c r="T201" s="45"/>
      <c r="U201" s="33" t="e">
        <f>HLOOKUP($T$192,$W$191:$BN$217,11)</f>
        <v>#N/A</v>
      </c>
      <c r="V201" s="33" t="e">
        <f>HLOOKUP($T$192,$W$191:$BN$217,23)*T2</f>
        <v>#N/A</v>
      </c>
      <c r="W201" s="30">
        <v>0</v>
      </c>
      <c r="X201" s="30">
        <v>40</v>
      </c>
      <c r="Y201" s="30">
        <v>0</v>
      </c>
      <c r="Z201" s="30">
        <v>65</v>
      </c>
      <c r="AA201" s="30">
        <v>0</v>
      </c>
      <c r="AB201" s="30">
        <v>110</v>
      </c>
      <c r="AC201" s="30">
        <v>0</v>
      </c>
      <c r="AD201" s="30">
        <v>200</v>
      </c>
      <c r="AE201" s="30">
        <v>0</v>
      </c>
      <c r="AF201" s="32">
        <v>345</v>
      </c>
      <c r="AG201" s="35">
        <v>0</v>
      </c>
      <c r="AH201" s="32">
        <v>500</v>
      </c>
      <c r="AI201" s="35">
        <v>0</v>
      </c>
      <c r="AJ201" s="36">
        <v>700</v>
      </c>
      <c r="AK201" s="31">
        <v>0</v>
      </c>
      <c r="AL201" s="30">
        <v>1000</v>
      </c>
      <c r="AM201" s="30">
        <v>0</v>
      </c>
      <c r="AN201" s="30">
        <v>1300</v>
      </c>
      <c r="AO201" s="30">
        <v>0</v>
      </c>
      <c r="AP201" s="30">
        <v>1770</v>
      </c>
      <c r="AQ201" s="30">
        <v>0</v>
      </c>
      <c r="AR201" s="30">
        <v>2150</v>
      </c>
      <c r="AS201" s="30">
        <v>0</v>
      </c>
      <c r="AT201" s="30">
        <v>3000</v>
      </c>
      <c r="AU201" s="30">
        <v>0</v>
      </c>
      <c r="AV201" s="30">
        <v>3900</v>
      </c>
      <c r="AW201" s="30">
        <v>0</v>
      </c>
      <c r="AX201" s="30">
        <v>5000</v>
      </c>
      <c r="AY201" s="30">
        <v>0</v>
      </c>
      <c r="AZ201" s="30">
        <v>5800</v>
      </c>
      <c r="BA201" s="30">
        <v>0</v>
      </c>
      <c r="BB201" s="30">
        <v>7250</v>
      </c>
      <c r="BC201" s="30">
        <v>0</v>
      </c>
      <c r="BD201" s="30">
        <v>2000</v>
      </c>
      <c r="BE201" s="30">
        <v>0</v>
      </c>
      <c r="BF201" s="30">
        <v>10500</v>
      </c>
      <c r="BG201" s="42">
        <v>0</v>
      </c>
      <c r="BH201" s="42">
        <v>13100</v>
      </c>
      <c r="BI201" s="30">
        <v>0</v>
      </c>
      <c r="BJ201" s="30">
        <v>15000</v>
      </c>
      <c r="BK201" s="30">
        <v>0</v>
      </c>
      <c r="BL201" s="30">
        <v>17000</v>
      </c>
      <c r="BM201" s="77"/>
      <c r="BN201" s="77"/>
      <c r="BO201" s="76"/>
      <c r="BP201" s="76"/>
      <c r="BQ201" s="76"/>
      <c r="BR201" s="76"/>
      <c r="BS201" s="76"/>
      <c r="BT201" s="7"/>
      <c r="BU201" s="7"/>
      <c r="BV201" s="7"/>
    </row>
    <row r="202" spans="16:74" ht="13.5" thickBot="1">
      <c r="P202" s="44"/>
      <c r="Q202" s="45"/>
      <c r="R202" s="45"/>
      <c r="S202" s="45"/>
      <c r="T202" s="45"/>
      <c r="U202" s="33" t="e">
        <f>HLOOKUP($T$192,$W$191:$BN$217,12)</f>
        <v>#N/A</v>
      </c>
      <c r="V202" s="33" t="e">
        <f>HLOOKUP($T$192,$W$191:$BN$217,24)*T2</f>
        <v>#N/A</v>
      </c>
      <c r="W202" s="30">
        <v>0</v>
      </c>
      <c r="X202" s="30">
        <v>40</v>
      </c>
      <c r="Y202" s="30">
        <v>0</v>
      </c>
      <c r="Z202" s="30">
        <v>65</v>
      </c>
      <c r="AA202" s="30">
        <v>0</v>
      </c>
      <c r="AB202" s="30">
        <v>110</v>
      </c>
      <c r="AC202" s="30">
        <v>0</v>
      </c>
      <c r="AD202" s="30">
        <v>200</v>
      </c>
      <c r="AE202" s="30">
        <v>0</v>
      </c>
      <c r="AF202" s="32">
        <v>345</v>
      </c>
      <c r="AG202" s="35">
        <v>0</v>
      </c>
      <c r="AH202" s="32">
        <v>500</v>
      </c>
      <c r="AI202" s="35">
        <v>0</v>
      </c>
      <c r="AJ202" s="36">
        <v>700</v>
      </c>
      <c r="AK202" s="31">
        <v>0</v>
      </c>
      <c r="AL202" s="30">
        <v>1000</v>
      </c>
      <c r="AM202" s="30">
        <v>0</v>
      </c>
      <c r="AN202" s="30">
        <v>1300</v>
      </c>
      <c r="AO202" s="30">
        <v>0</v>
      </c>
      <c r="AP202" s="30">
        <v>1770</v>
      </c>
      <c r="AQ202" s="30">
        <v>0</v>
      </c>
      <c r="AR202" s="30">
        <v>2150</v>
      </c>
      <c r="AS202" s="30">
        <v>0</v>
      </c>
      <c r="AT202" s="30">
        <v>3000</v>
      </c>
      <c r="AU202" s="30">
        <v>0</v>
      </c>
      <c r="AV202" s="30">
        <v>3900</v>
      </c>
      <c r="AW202" s="30">
        <v>0</v>
      </c>
      <c r="AX202" s="30">
        <v>5000</v>
      </c>
      <c r="AY202" s="30">
        <v>0</v>
      </c>
      <c r="AZ202" s="30">
        <v>5800</v>
      </c>
      <c r="BA202" s="30">
        <v>0</v>
      </c>
      <c r="BB202" s="30">
        <v>7250</v>
      </c>
      <c r="BC202" s="30">
        <v>0</v>
      </c>
      <c r="BD202" s="30">
        <v>8500</v>
      </c>
      <c r="BE202" s="30">
        <v>0</v>
      </c>
      <c r="BF202" s="30">
        <v>10500</v>
      </c>
      <c r="BG202" s="42">
        <v>0</v>
      </c>
      <c r="BH202" s="42">
        <v>13100</v>
      </c>
      <c r="BI202" s="30">
        <v>0</v>
      </c>
      <c r="BJ202" s="30">
        <v>15000</v>
      </c>
      <c r="BK202" s="30">
        <v>0</v>
      </c>
      <c r="BL202" s="30">
        <v>17000</v>
      </c>
      <c r="BM202" s="77"/>
      <c r="BN202" s="77"/>
      <c r="BO202" s="76"/>
      <c r="BP202" s="76"/>
      <c r="BQ202" s="76"/>
      <c r="BR202" s="76"/>
      <c r="BS202" s="76"/>
      <c r="BT202" s="7"/>
      <c r="BU202" s="7"/>
      <c r="BV202" s="7"/>
    </row>
    <row r="203" spans="16:74" ht="13.5" thickBot="1">
      <c r="P203" s="44"/>
      <c r="Q203" s="45"/>
      <c r="R203" s="45"/>
      <c r="S203" s="45"/>
      <c r="T203" s="45"/>
      <c r="U203" s="33" t="e">
        <f>HLOOKUP($T$192,$W$191:$BN$217,13)</f>
        <v>#N/A</v>
      </c>
      <c r="V203" s="33" t="e">
        <f>HLOOKUP($T$192,$W$191:$BN$217,25)*T2</f>
        <v>#N/A</v>
      </c>
      <c r="W203" s="30">
        <v>0</v>
      </c>
      <c r="X203" s="30">
        <v>40</v>
      </c>
      <c r="Y203" s="30">
        <v>0</v>
      </c>
      <c r="Z203" s="30">
        <v>65</v>
      </c>
      <c r="AA203" s="30">
        <v>0</v>
      </c>
      <c r="AB203" s="30">
        <v>110</v>
      </c>
      <c r="AC203" s="30">
        <v>0</v>
      </c>
      <c r="AD203" s="30">
        <v>200</v>
      </c>
      <c r="AE203" s="30">
        <v>0</v>
      </c>
      <c r="AF203" s="32">
        <v>345</v>
      </c>
      <c r="AG203" s="35">
        <v>0</v>
      </c>
      <c r="AH203" s="32">
        <v>500</v>
      </c>
      <c r="AI203" s="35">
        <v>0</v>
      </c>
      <c r="AJ203" s="36">
        <v>700</v>
      </c>
      <c r="AK203" s="31">
        <v>0</v>
      </c>
      <c r="AL203" s="30">
        <v>1000</v>
      </c>
      <c r="AM203" s="30">
        <v>0</v>
      </c>
      <c r="AN203" s="30">
        <v>1300</v>
      </c>
      <c r="AO203" s="30">
        <v>0</v>
      </c>
      <c r="AP203" s="30">
        <v>1770</v>
      </c>
      <c r="AQ203" s="30">
        <v>0</v>
      </c>
      <c r="AR203" s="30">
        <v>2150</v>
      </c>
      <c r="AS203" s="30">
        <v>0</v>
      </c>
      <c r="AT203" s="30">
        <v>3000</v>
      </c>
      <c r="AU203" s="30">
        <v>0</v>
      </c>
      <c r="AV203" s="30">
        <v>3900</v>
      </c>
      <c r="AW203" s="30">
        <v>0</v>
      </c>
      <c r="AX203" s="30">
        <v>5000</v>
      </c>
      <c r="AY203" s="30">
        <v>0</v>
      </c>
      <c r="AZ203" s="30">
        <v>5800</v>
      </c>
      <c r="BA203" s="30">
        <v>0</v>
      </c>
      <c r="BB203" s="30">
        <v>7250</v>
      </c>
      <c r="BC203" s="30">
        <v>0</v>
      </c>
      <c r="BD203" s="30">
        <v>8500</v>
      </c>
      <c r="BE203" s="30">
        <v>0</v>
      </c>
      <c r="BF203" s="30">
        <v>10500</v>
      </c>
      <c r="BG203" s="42">
        <v>0</v>
      </c>
      <c r="BH203" s="42">
        <v>13100</v>
      </c>
      <c r="BI203" s="30">
        <v>0</v>
      </c>
      <c r="BJ203" s="30">
        <v>15000</v>
      </c>
      <c r="BK203" s="30">
        <v>0</v>
      </c>
      <c r="BL203" s="30">
        <v>17000</v>
      </c>
      <c r="BM203" s="77"/>
      <c r="BN203" s="77"/>
      <c r="BO203" s="76"/>
      <c r="BP203" s="76"/>
      <c r="BQ203" s="76"/>
      <c r="BR203" s="76"/>
      <c r="BS203" s="76"/>
      <c r="BT203" s="7"/>
      <c r="BU203" s="7"/>
      <c r="BV203" s="7"/>
    </row>
    <row r="204" spans="16:74" ht="12.75">
      <c r="P204" s="44"/>
      <c r="Q204" s="45"/>
      <c r="R204" s="45"/>
      <c r="S204" s="45"/>
      <c r="T204" s="45"/>
      <c r="U204" s="33" t="e">
        <f>HLOOKUP($T$192,$W$191:$BN$217,14)</f>
        <v>#N/A</v>
      </c>
      <c r="V204" s="33" t="e">
        <f>HLOOKUP($T$192,$W$191:$BN$217,26)*T2</f>
        <v>#N/A</v>
      </c>
      <c r="W204" s="30">
        <v>0</v>
      </c>
      <c r="X204" s="30">
        <v>40</v>
      </c>
      <c r="Y204" s="30">
        <v>0</v>
      </c>
      <c r="Z204" s="30">
        <v>65</v>
      </c>
      <c r="AA204" s="30">
        <v>0</v>
      </c>
      <c r="AB204" s="30">
        <v>110</v>
      </c>
      <c r="AC204" s="30">
        <v>0</v>
      </c>
      <c r="AD204" s="30">
        <v>200</v>
      </c>
      <c r="AE204" s="30">
        <v>0</v>
      </c>
      <c r="AF204" s="32">
        <v>345</v>
      </c>
      <c r="AG204" s="35">
        <v>0</v>
      </c>
      <c r="AH204" s="32">
        <v>500</v>
      </c>
      <c r="AI204" s="35">
        <v>0</v>
      </c>
      <c r="AJ204" s="36">
        <v>700</v>
      </c>
      <c r="AK204" s="31">
        <v>0</v>
      </c>
      <c r="AL204" s="30">
        <v>1000</v>
      </c>
      <c r="AM204" s="30">
        <v>0</v>
      </c>
      <c r="AN204" s="30">
        <v>1300</v>
      </c>
      <c r="AO204" s="30">
        <v>0</v>
      </c>
      <c r="AP204" s="30">
        <v>1770</v>
      </c>
      <c r="AQ204" s="30">
        <v>0</v>
      </c>
      <c r="AR204" s="30">
        <v>2150</v>
      </c>
      <c r="AS204" s="30">
        <v>0</v>
      </c>
      <c r="AT204" s="30">
        <v>3000</v>
      </c>
      <c r="AU204" s="30">
        <v>0</v>
      </c>
      <c r="AV204" s="30">
        <v>3900</v>
      </c>
      <c r="AW204" s="30">
        <v>0</v>
      </c>
      <c r="AX204" s="30">
        <v>5000</v>
      </c>
      <c r="AY204" s="30">
        <v>0</v>
      </c>
      <c r="AZ204" s="30">
        <v>5800</v>
      </c>
      <c r="BA204" s="30">
        <v>0</v>
      </c>
      <c r="BB204" s="30">
        <v>7250</v>
      </c>
      <c r="BC204" s="30">
        <v>0</v>
      </c>
      <c r="BD204" s="30">
        <v>8500</v>
      </c>
      <c r="BE204" s="30">
        <v>0</v>
      </c>
      <c r="BF204" s="30">
        <v>10500</v>
      </c>
      <c r="BG204" s="42">
        <v>0</v>
      </c>
      <c r="BH204" s="42">
        <v>13100</v>
      </c>
      <c r="BI204" s="30">
        <v>0</v>
      </c>
      <c r="BJ204" s="30">
        <v>15000</v>
      </c>
      <c r="BK204" s="30">
        <v>0</v>
      </c>
      <c r="BL204" s="30">
        <v>17000</v>
      </c>
      <c r="BM204" s="77"/>
      <c r="BN204" s="77"/>
      <c r="BO204" s="76"/>
      <c r="BP204" s="76"/>
      <c r="BQ204" s="76"/>
      <c r="BR204" s="76"/>
      <c r="BS204" s="76"/>
      <c r="BT204" s="7"/>
      <c r="BU204" s="7"/>
      <c r="BV204" s="7"/>
    </row>
    <row r="205" spans="16:74" ht="12.75">
      <c r="P205" s="44"/>
      <c r="Q205" s="44"/>
      <c r="R205" s="155" t="s">
        <v>111</v>
      </c>
      <c r="S205" s="155"/>
      <c r="T205" s="45"/>
      <c r="U205" s="45"/>
      <c r="V205" s="7"/>
      <c r="W205" s="30" t="str">
        <f aca="true" t="shared" si="108" ref="W205:W216">X193</f>
        <v>potenza</v>
      </c>
      <c r="X205" s="30"/>
      <c r="Y205" s="30" t="str">
        <f>Z193</f>
        <v>potenza</v>
      </c>
      <c r="Z205" s="30"/>
      <c r="AA205" s="30" t="str">
        <f>AB193</f>
        <v>potenza</v>
      </c>
      <c r="AB205" s="30"/>
      <c r="AC205" s="30" t="str">
        <f>AD193</f>
        <v>potenza</v>
      </c>
      <c r="AD205" s="30"/>
      <c r="AE205" s="39" t="str">
        <f>AF193</f>
        <v>potenza</v>
      </c>
      <c r="AF205" s="39"/>
      <c r="AG205" s="39" t="str">
        <f>AH193</f>
        <v>potenza</v>
      </c>
      <c r="AH205" s="39"/>
      <c r="AI205" s="30" t="str">
        <f>AJ193</f>
        <v>potenza</v>
      </c>
      <c r="AJ205" s="30"/>
      <c r="AK205" s="30" t="str">
        <f>AL193</f>
        <v>potenza</v>
      </c>
      <c r="AL205" s="30"/>
      <c r="AM205" s="30" t="str">
        <f>AN193</f>
        <v>potenza</v>
      </c>
      <c r="AN205" s="30"/>
      <c r="AO205" s="30" t="str">
        <f>AP193</f>
        <v>potenza</v>
      </c>
      <c r="AP205" s="30"/>
      <c r="AQ205" s="30" t="str">
        <f>AR193</f>
        <v>potenza</v>
      </c>
      <c r="AR205" s="30"/>
      <c r="AS205" s="30" t="str">
        <f>AT193</f>
        <v>potenza</v>
      </c>
      <c r="AT205" s="30"/>
      <c r="AU205" s="30" t="str">
        <f>AV193</f>
        <v>potenza</v>
      </c>
      <c r="AV205" s="30"/>
      <c r="AW205" s="30" t="str">
        <f>AX193</f>
        <v>potenza</v>
      </c>
      <c r="AX205" s="30"/>
      <c r="AY205" s="30" t="str">
        <f>AZ193</f>
        <v>potenza</v>
      </c>
      <c r="AZ205" s="30"/>
      <c r="BA205" s="30" t="str">
        <f>BB193</f>
        <v>potenza</v>
      </c>
      <c r="BB205" s="30"/>
      <c r="BC205" s="30" t="str">
        <f>BD193</f>
        <v>potenza</v>
      </c>
      <c r="BD205" s="30"/>
      <c r="BE205" s="30" t="str">
        <f>BF193</f>
        <v>potenza</v>
      </c>
      <c r="BF205" s="30"/>
      <c r="BG205" s="30" t="str">
        <f>BH193</f>
        <v>potenza</v>
      </c>
      <c r="BH205" s="30"/>
      <c r="BI205" s="30" t="str">
        <f>BJ193</f>
        <v>potenza</v>
      </c>
      <c r="BJ205" s="30"/>
      <c r="BK205" s="30" t="str">
        <f>BL193</f>
        <v>potenza</v>
      </c>
      <c r="BL205" s="30"/>
      <c r="BM205" s="77" t="str">
        <f>BN193</f>
        <v>potenza</v>
      </c>
      <c r="BN205" s="76"/>
      <c r="BO205" s="76"/>
      <c r="BP205" s="76"/>
      <c r="BQ205" s="76"/>
      <c r="BR205" s="76"/>
      <c r="BS205" s="76"/>
      <c r="BT205" s="7"/>
      <c r="BU205" s="7"/>
      <c r="BV205" s="7"/>
    </row>
    <row r="206" spans="17:74" ht="12.75">
      <c r="Q206" s="44"/>
      <c r="R206" s="68" t="s">
        <v>112</v>
      </c>
      <c r="S206" s="68" t="s">
        <v>113</v>
      </c>
      <c r="T206" s="45"/>
      <c r="U206" s="45"/>
      <c r="V206" s="7"/>
      <c r="W206" s="30">
        <f t="shared" si="108"/>
        <v>40</v>
      </c>
      <c r="X206" s="30"/>
      <c r="Y206" s="30">
        <f aca="true" t="shared" si="109" ref="Y206:Y216">Z194</f>
        <v>65</v>
      </c>
      <c r="Z206" s="30"/>
      <c r="AA206" s="30">
        <f aca="true" t="shared" si="110" ref="AA206:AA216">AB194</f>
        <v>110</v>
      </c>
      <c r="AB206" s="30"/>
      <c r="AC206" s="30">
        <f aca="true" t="shared" si="111" ref="AC206:AC216">AD194</f>
        <v>200</v>
      </c>
      <c r="AD206" s="30"/>
      <c r="AE206" s="30">
        <f aca="true" t="shared" si="112" ref="AE206:AE216">AF194</f>
        <v>345</v>
      </c>
      <c r="AF206" s="30"/>
      <c r="AG206" s="30">
        <f aca="true" t="shared" si="113" ref="AG206:AG216">AH194</f>
        <v>500</v>
      </c>
      <c r="AH206" s="30"/>
      <c r="AI206" s="30">
        <f aca="true" t="shared" si="114" ref="AI206:AI216">AJ194</f>
        <v>700</v>
      </c>
      <c r="AJ206" s="30"/>
      <c r="AK206" s="30">
        <f aca="true" t="shared" si="115" ref="AK206:AK216">AL194</f>
        <v>1000</v>
      </c>
      <c r="AL206" s="30"/>
      <c r="AM206" s="30">
        <f aca="true" t="shared" si="116" ref="AM206:AM216">AN194</f>
        <v>1300</v>
      </c>
      <c r="AN206" s="30"/>
      <c r="AO206" s="30">
        <f aca="true" t="shared" si="117" ref="AO206:AO216">AP194</f>
        <v>1770</v>
      </c>
      <c r="AP206" s="30"/>
      <c r="AQ206" s="30">
        <f aca="true" t="shared" si="118" ref="AQ206:AQ216">AR194</f>
        <v>2150</v>
      </c>
      <c r="AR206" s="30"/>
      <c r="AS206" s="30">
        <f aca="true" t="shared" si="119" ref="AS206:AS216">AT194</f>
        <v>3000</v>
      </c>
      <c r="AT206" s="30"/>
      <c r="AU206" s="30">
        <f aca="true" t="shared" si="120" ref="AU206:AU216">AV194</f>
        <v>3900</v>
      </c>
      <c r="AV206" s="30"/>
      <c r="AW206" s="30">
        <f aca="true" t="shared" si="121" ref="AW206:AW216">AX194</f>
        <v>5000</v>
      </c>
      <c r="AX206" s="30"/>
      <c r="AY206" s="30">
        <f aca="true" t="shared" si="122" ref="AY206:AY216">AZ194</f>
        <v>5800</v>
      </c>
      <c r="AZ206" s="30"/>
      <c r="BA206" s="30">
        <f aca="true" t="shared" si="123" ref="BA206:BA216">BB194</f>
        <v>7500</v>
      </c>
      <c r="BB206" s="30"/>
      <c r="BC206" s="30">
        <f aca="true" t="shared" si="124" ref="BC206:BC216">BD194</f>
        <v>8500</v>
      </c>
      <c r="BD206" s="30"/>
      <c r="BE206" s="30">
        <f aca="true" t="shared" si="125" ref="BE206:BE216">BF194</f>
        <v>10500</v>
      </c>
      <c r="BF206" s="30"/>
      <c r="BG206" s="30">
        <f aca="true" t="shared" si="126" ref="BG206:BG216">BH194</f>
        <v>13100</v>
      </c>
      <c r="BH206" s="30"/>
      <c r="BI206" s="30">
        <f aca="true" t="shared" si="127" ref="BI206:BI216">BJ194</f>
        <v>15000</v>
      </c>
      <c r="BJ206" s="30"/>
      <c r="BK206" s="30">
        <f aca="true" t="shared" si="128" ref="BK206:BK216">BL194</f>
        <v>17000</v>
      </c>
      <c r="BL206" s="30"/>
      <c r="BM206" s="10">
        <f aca="true" t="shared" si="129" ref="BM206:BM216">BN194</f>
        <v>0</v>
      </c>
      <c r="BN206" s="7"/>
      <c r="BO206" s="7"/>
      <c r="BP206" s="7"/>
      <c r="BQ206" s="7"/>
      <c r="BR206" s="7"/>
      <c r="BS206" s="7"/>
      <c r="BT206" s="7"/>
      <c r="BU206" s="7"/>
      <c r="BV206" s="7"/>
    </row>
    <row r="207" spans="17:74" ht="12.75">
      <c r="Q207" s="44">
        <v>1</v>
      </c>
      <c r="R207" s="68">
        <v>89</v>
      </c>
      <c r="S207" s="68" t="s">
        <v>146</v>
      </c>
      <c r="T207" s="30">
        <v>1</v>
      </c>
      <c r="U207" s="30" t="str">
        <f>W192</f>
        <v>Dual 1 Out PL</v>
      </c>
      <c r="V207" s="10"/>
      <c r="W207" s="31">
        <f t="shared" si="108"/>
        <v>37</v>
      </c>
      <c r="X207" s="30"/>
      <c r="Y207" s="30">
        <f t="shared" si="109"/>
        <v>58</v>
      </c>
      <c r="Z207" s="30"/>
      <c r="AA207" s="30">
        <f t="shared" si="110"/>
        <v>108</v>
      </c>
      <c r="AB207" s="30"/>
      <c r="AC207" s="30">
        <f t="shared" si="111"/>
        <v>161</v>
      </c>
      <c r="AD207" s="30"/>
      <c r="AE207" s="30">
        <f t="shared" si="112"/>
        <v>345</v>
      </c>
      <c r="AF207" s="30"/>
      <c r="AG207" s="30">
        <f t="shared" si="113"/>
        <v>500</v>
      </c>
      <c r="AH207" s="30"/>
      <c r="AI207" s="30">
        <f t="shared" si="114"/>
        <v>700</v>
      </c>
      <c r="AJ207" s="30"/>
      <c r="AK207" s="30">
        <f t="shared" si="115"/>
        <v>970</v>
      </c>
      <c r="AL207" s="30"/>
      <c r="AM207" s="30">
        <f t="shared" si="116"/>
        <v>1220</v>
      </c>
      <c r="AN207" s="30"/>
      <c r="AO207" s="30">
        <f t="shared" si="117"/>
        <v>1500</v>
      </c>
      <c r="AP207" s="30"/>
      <c r="AQ207" s="30">
        <f t="shared" si="118"/>
        <v>1750</v>
      </c>
      <c r="AR207" s="30"/>
      <c r="AS207" s="30">
        <f t="shared" si="119"/>
        <v>2400</v>
      </c>
      <c r="AT207" s="30"/>
      <c r="AU207" s="30">
        <f t="shared" si="120"/>
        <v>3800</v>
      </c>
      <c r="AV207" s="30"/>
      <c r="AW207" s="30">
        <f t="shared" si="121"/>
        <v>3500</v>
      </c>
      <c r="AX207" s="30"/>
      <c r="AY207" s="30">
        <f t="shared" si="122"/>
        <v>4350</v>
      </c>
      <c r="AZ207" s="30"/>
      <c r="BA207" s="30">
        <f t="shared" si="123"/>
        <v>7500</v>
      </c>
      <c r="BB207" s="30"/>
      <c r="BC207" s="30">
        <f t="shared" si="124"/>
        <v>8250</v>
      </c>
      <c r="BD207" s="30"/>
      <c r="BE207" s="30">
        <f t="shared" si="125"/>
        <v>9000</v>
      </c>
      <c r="BF207" s="30"/>
      <c r="BG207" s="30">
        <f t="shared" si="126"/>
        <v>10500</v>
      </c>
      <c r="BH207" s="30"/>
      <c r="BI207" s="30">
        <f t="shared" si="127"/>
        <v>15000</v>
      </c>
      <c r="BJ207" s="30"/>
      <c r="BK207" s="30">
        <f t="shared" si="128"/>
        <v>17000</v>
      </c>
      <c r="BL207" s="30"/>
      <c r="BM207" s="10">
        <f t="shared" si="129"/>
        <v>0</v>
      </c>
      <c r="BN207" s="7"/>
      <c r="BO207" s="7"/>
      <c r="BP207" s="7"/>
      <c r="BQ207" s="7"/>
      <c r="BR207" s="7"/>
      <c r="BS207" s="7"/>
      <c r="BT207" s="7"/>
      <c r="BU207" s="7"/>
      <c r="BV207" s="7"/>
    </row>
    <row r="208" spans="17:74" ht="12.75">
      <c r="Q208" s="44">
        <v>2</v>
      </c>
      <c r="R208" s="68">
        <v>89</v>
      </c>
      <c r="S208" s="68" t="s">
        <v>146</v>
      </c>
      <c r="T208" s="30">
        <f>T207+1</f>
        <v>2</v>
      </c>
      <c r="U208" s="30" t="str">
        <f>Y192</f>
        <v>Dual 2 Out PL</v>
      </c>
      <c r="V208" s="10"/>
      <c r="W208" s="31">
        <f t="shared" si="108"/>
        <v>24</v>
      </c>
      <c r="X208" s="30"/>
      <c r="Y208" s="30">
        <f t="shared" si="109"/>
        <v>34</v>
      </c>
      <c r="Z208" s="30"/>
      <c r="AA208" s="30">
        <f t="shared" si="110"/>
        <v>94</v>
      </c>
      <c r="AB208" s="30"/>
      <c r="AC208" s="30">
        <f t="shared" si="111"/>
        <v>110</v>
      </c>
      <c r="AD208" s="30"/>
      <c r="AE208" s="30">
        <f t="shared" si="112"/>
        <v>318</v>
      </c>
      <c r="AF208" s="30"/>
      <c r="AG208" s="30">
        <f t="shared" si="113"/>
        <v>490</v>
      </c>
      <c r="AH208" s="30"/>
      <c r="AI208" s="30">
        <f t="shared" si="114"/>
        <v>580</v>
      </c>
      <c r="AJ208" s="30"/>
      <c r="AK208" s="30">
        <f t="shared" si="115"/>
        <v>700</v>
      </c>
      <c r="AL208" s="30"/>
      <c r="AM208" s="30">
        <f t="shared" si="116"/>
        <v>900</v>
      </c>
      <c r="AN208" s="30"/>
      <c r="AO208" s="30">
        <f t="shared" si="117"/>
        <v>700</v>
      </c>
      <c r="AP208" s="30"/>
      <c r="AQ208" s="30">
        <f t="shared" si="118"/>
        <v>900</v>
      </c>
      <c r="AR208" s="30"/>
      <c r="AS208" s="30">
        <f t="shared" si="119"/>
        <v>1600</v>
      </c>
      <c r="AT208" s="30"/>
      <c r="AU208" s="30">
        <f t="shared" si="120"/>
        <v>2900</v>
      </c>
      <c r="AV208" s="30"/>
      <c r="AW208" s="30">
        <f t="shared" si="121"/>
        <v>1600</v>
      </c>
      <c r="AX208" s="30"/>
      <c r="AY208" s="30">
        <f t="shared" si="122"/>
        <v>2125</v>
      </c>
      <c r="AZ208" s="30"/>
      <c r="BA208" s="30">
        <f t="shared" si="123"/>
        <v>5200</v>
      </c>
      <c r="BB208" s="30"/>
      <c r="BC208" s="30">
        <f t="shared" si="124"/>
        <v>8000</v>
      </c>
      <c r="BD208" s="30"/>
      <c r="BE208" s="30">
        <f t="shared" si="125"/>
        <v>7250</v>
      </c>
      <c r="BF208" s="30"/>
      <c r="BG208" s="30">
        <f t="shared" si="126"/>
        <v>8800</v>
      </c>
      <c r="BH208" s="30"/>
      <c r="BI208" s="30">
        <f t="shared" si="127"/>
        <v>12200</v>
      </c>
      <c r="BJ208" s="30"/>
      <c r="BK208" s="30">
        <f t="shared" si="128"/>
        <v>13900</v>
      </c>
      <c r="BL208" s="30"/>
      <c r="BM208" s="10">
        <f t="shared" si="129"/>
        <v>0</v>
      </c>
      <c r="BN208" s="7"/>
      <c r="BO208" s="7"/>
      <c r="BP208" s="7"/>
      <c r="BQ208" s="7"/>
      <c r="BR208" s="7"/>
      <c r="BS208" s="7"/>
      <c r="BT208" s="7"/>
      <c r="BU208" s="7"/>
      <c r="BV208" s="7"/>
    </row>
    <row r="209" spans="17:74" ht="12.75">
      <c r="Q209" s="44">
        <f>Q208+1</f>
        <v>3</v>
      </c>
      <c r="R209" s="68">
        <v>108</v>
      </c>
      <c r="S209" s="68" t="s">
        <v>147</v>
      </c>
      <c r="T209" s="30">
        <f aca="true" t="shared" si="130" ref="T209:T228">T208+1</f>
        <v>3</v>
      </c>
      <c r="U209" s="30" t="str">
        <f>AA192</f>
        <v>Dual 3-3P Out PL</v>
      </c>
      <c r="V209" s="10"/>
      <c r="W209" s="31">
        <f t="shared" si="108"/>
        <v>23</v>
      </c>
      <c r="X209" s="30"/>
      <c r="Y209" s="30">
        <f t="shared" si="109"/>
        <v>34</v>
      </c>
      <c r="Z209" s="30"/>
      <c r="AA209" s="30">
        <f t="shared" si="110"/>
        <v>69</v>
      </c>
      <c r="AB209" s="30"/>
      <c r="AC209" s="30">
        <f t="shared" si="111"/>
        <v>110</v>
      </c>
      <c r="AD209" s="30"/>
      <c r="AE209" s="30">
        <f t="shared" si="112"/>
        <v>202</v>
      </c>
      <c r="AF209" s="30"/>
      <c r="AG209" s="30">
        <f t="shared" si="113"/>
        <v>360</v>
      </c>
      <c r="AH209" s="30"/>
      <c r="AI209" s="30">
        <f t="shared" si="114"/>
        <v>450</v>
      </c>
      <c r="AJ209" s="30"/>
      <c r="AK209" s="30">
        <f t="shared" si="115"/>
        <v>420</v>
      </c>
      <c r="AL209" s="30"/>
      <c r="AM209" s="30">
        <f t="shared" si="116"/>
        <v>650</v>
      </c>
      <c r="AN209" s="30"/>
      <c r="AO209" s="30">
        <f t="shared" si="117"/>
        <v>342</v>
      </c>
      <c r="AP209" s="30"/>
      <c r="AQ209" s="30">
        <f t="shared" si="118"/>
        <v>414</v>
      </c>
      <c r="AR209" s="30"/>
      <c r="AS209" s="30">
        <f t="shared" si="119"/>
        <v>630</v>
      </c>
      <c r="AT209" s="30"/>
      <c r="AU209" s="30">
        <f t="shared" si="120"/>
        <v>2100</v>
      </c>
      <c r="AV209" s="30"/>
      <c r="AW209" s="30">
        <f t="shared" si="121"/>
        <v>1200</v>
      </c>
      <c r="AX209" s="30"/>
      <c r="AY209" s="30">
        <f t="shared" si="122"/>
        <v>1500</v>
      </c>
      <c r="AZ209" s="30"/>
      <c r="BA209" s="30">
        <f t="shared" si="123"/>
        <v>2750</v>
      </c>
      <c r="BB209" s="30"/>
      <c r="BC209" s="30">
        <f t="shared" si="124"/>
        <v>6500</v>
      </c>
      <c r="BD209" s="30"/>
      <c r="BE209" s="30">
        <f t="shared" si="125"/>
        <v>4800</v>
      </c>
      <c r="BF209" s="30"/>
      <c r="BG209" s="30">
        <f t="shared" si="126"/>
        <v>5250</v>
      </c>
      <c r="BH209" s="30"/>
      <c r="BI209" s="30">
        <f t="shared" si="127"/>
        <v>11000</v>
      </c>
      <c r="BJ209" s="30"/>
      <c r="BK209" s="30">
        <f t="shared" si="128"/>
        <v>12900</v>
      </c>
      <c r="BL209" s="30"/>
      <c r="BM209" s="10">
        <f t="shared" si="129"/>
        <v>0</v>
      </c>
      <c r="BN209" s="7"/>
      <c r="BO209" s="7"/>
      <c r="BP209" s="7"/>
      <c r="BQ209" s="7"/>
      <c r="BR209" s="7"/>
      <c r="BS209" s="7"/>
      <c r="BT209" s="7"/>
      <c r="BU209" s="7"/>
      <c r="BV209" s="7"/>
    </row>
    <row r="210" spans="17:74" ht="12.75">
      <c r="Q210" s="44">
        <f aca="true" t="shared" si="131" ref="Q210:Q231">Q209+1</f>
        <v>4</v>
      </c>
      <c r="R210" s="68">
        <v>108</v>
      </c>
      <c r="S210" s="68" t="s">
        <v>147</v>
      </c>
      <c r="T210" s="30">
        <f t="shared" si="130"/>
        <v>4</v>
      </c>
      <c r="U210" s="30" t="str">
        <f>AC192</f>
        <v>Dual 4-4P Out PL</v>
      </c>
      <c r="V210" s="10"/>
      <c r="W210" s="31">
        <f t="shared" si="108"/>
        <v>40</v>
      </c>
      <c r="X210" s="30"/>
      <c r="Y210" s="30">
        <f t="shared" si="109"/>
        <v>65</v>
      </c>
      <c r="Z210" s="30"/>
      <c r="AA210" s="30">
        <f t="shared" si="110"/>
        <v>58</v>
      </c>
      <c r="AB210" s="30"/>
      <c r="AC210" s="30">
        <f t="shared" si="111"/>
        <v>110</v>
      </c>
      <c r="AD210" s="30"/>
      <c r="AE210" s="30">
        <f t="shared" si="112"/>
        <v>171</v>
      </c>
      <c r="AF210" s="30"/>
      <c r="AG210" s="30">
        <f t="shared" si="113"/>
        <v>270</v>
      </c>
      <c r="AH210" s="30"/>
      <c r="AI210" s="30">
        <f t="shared" si="114"/>
        <v>370</v>
      </c>
      <c r="AJ210" s="30"/>
      <c r="AK210" s="30">
        <f t="shared" si="115"/>
        <v>200</v>
      </c>
      <c r="AL210" s="30"/>
      <c r="AM210" s="30">
        <f t="shared" si="116"/>
        <v>250</v>
      </c>
      <c r="AN210" s="30"/>
      <c r="AO210" s="30">
        <f t="shared" si="117"/>
        <v>342</v>
      </c>
      <c r="AP210" s="30"/>
      <c r="AQ210" s="30">
        <f t="shared" si="118"/>
        <v>414</v>
      </c>
      <c r="AR210" s="30"/>
      <c r="AS210" s="30">
        <f t="shared" si="119"/>
        <v>630</v>
      </c>
      <c r="AT210" s="30"/>
      <c r="AU210" s="30">
        <f t="shared" si="120"/>
        <v>875</v>
      </c>
      <c r="AV210" s="30"/>
      <c r="AW210" s="30">
        <f t="shared" si="121"/>
        <v>1200</v>
      </c>
      <c r="AX210" s="30"/>
      <c r="AY210" s="30">
        <f t="shared" si="122"/>
        <v>1500</v>
      </c>
      <c r="AZ210" s="30"/>
      <c r="BA210" s="30">
        <f t="shared" si="123"/>
        <v>1500</v>
      </c>
      <c r="BB210" s="30"/>
      <c r="BC210" s="30">
        <f t="shared" si="124"/>
        <v>6500</v>
      </c>
      <c r="BD210" s="30"/>
      <c r="BE210" s="30">
        <f t="shared" si="125"/>
        <v>2500</v>
      </c>
      <c r="BF210" s="30"/>
      <c r="BG210" s="30">
        <f t="shared" si="126"/>
        <v>2700</v>
      </c>
      <c r="BH210" s="30"/>
      <c r="BI210" s="30">
        <f t="shared" si="127"/>
        <v>7000</v>
      </c>
      <c r="BJ210" s="30"/>
      <c r="BK210" s="30">
        <f t="shared" si="128"/>
        <v>8000</v>
      </c>
      <c r="BL210" s="30"/>
      <c r="BM210" s="10">
        <f t="shared" si="129"/>
        <v>0</v>
      </c>
      <c r="BN210" s="7"/>
      <c r="BO210" s="7"/>
      <c r="BP210" s="7"/>
      <c r="BQ210" s="7"/>
      <c r="BR210" s="7"/>
      <c r="BS210" s="7"/>
      <c r="BT210" s="7"/>
      <c r="BU210" s="7"/>
      <c r="BV210" s="7"/>
    </row>
    <row r="211" spans="17:74" ht="12.75">
      <c r="Q211" s="44">
        <f t="shared" si="131"/>
        <v>5</v>
      </c>
      <c r="R211" s="68">
        <v>140</v>
      </c>
      <c r="S211" s="68" t="s">
        <v>148</v>
      </c>
      <c r="T211" s="30">
        <f t="shared" si="130"/>
        <v>5</v>
      </c>
      <c r="U211" s="30" t="str">
        <f>AE192</f>
        <v>Dual 5 Out PL</v>
      </c>
      <c r="V211" s="10"/>
      <c r="W211" s="31">
        <f t="shared" si="108"/>
        <v>40</v>
      </c>
      <c r="X211" s="30"/>
      <c r="Y211" s="30">
        <f t="shared" si="109"/>
        <v>65</v>
      </c>
      <c r="Z211" s="30"/>
      <c r="AA211" s="30">
        <f t="shared" si="110"/>
        <v>58</v>
      </c>
      <c r="AB211" s="30"/>
      <c r="AC211" s="30">
        <f t="shared" si="111"/>
        <v>100</v>
      </c>
      <c r="AD211" s="30"/>
      <c r="AE211" s="30">
        <f t="shared" si="112"/>
        <v>110</v>
      </c>
      <c r="AF211" s="30"/>
      <c r="AG211" s="30">
        <f t="shared" si="113"/>
        <v>120</v>
      </c>
      <c r="AH211" s="30"/>
      <c r="AI211" s="30">
        <f t="shared" si="114"/>
        <v>190</v>
      </c>
      <c r="AJ211" s="30"/>
      <c r="AK211" s="30">
        <f t="shared" si="115"/>
        <v>1000</v>
      </c>
      <c r="AL211" s="30"/>
      <c r="AM211" s="30">
        <f t="shared" si="116"/>
        <v>1300</v>
      </c>
      <c r="AN211" s="30"/>
      <c r="AO211" s="30">
        <f t="shared" si="117"/>
        <v>1770</v>
      </c>
      <c r="AP211" s="30"/>
      <c r="AQ211" s="30">
        <f t="shared" si="118"/>
        <v>2150</v>
      </c>
      <c r="AR211" s="30"/>
      <c r="AS211" s="30">
        <f t="shared" si="119"/>
        <v>3000</v>
      </c>
      <c r="AT211" s="30"/>
      <c r="AU211" s="30">
        <f t="shared" si="120"/>
        <v>875</v>
      </c>
      <c r="AV211" s="30"/>
      <c r="AW211" s="30">
        <f t="shared" si="121"/>
        <v>5000</v>
      </c>
      <c r="AX211" s="30"/>
      <c r="AY211" s="30">
        <f t="shared" si="122"/>
        <v>5800</v>
      </c>
      <c r="AZ211" s="30"/>
      <c r="BA211" s="30">
        <f t="shared" si="123"/>
        <v>1500</v>
      </c>
      <c r="BB211" s="30"/>
      <c r="BC211" s="30">
        <f t="shared" si="124"/>
        <v>3750</v>
      </c>
      <c r="BD211" s="30"/>
      <c r="BE211" s="30">
        <f t="shared" si="125"/>
        <v>2500</v>
      </c>
      <c r="BF211" s="30"/>
      <c r="BG211" s="30">
        <f t="shared" si="126"/>
        <v>2700</v>
      </c>
      <c r="BH211" s="30"/>
      <c r="BI211" s="30">
        <f t="shared" si="127"/>
        <v>3700</v>
      </c>
      <c r="BJ211" s="30"/>
      <c r="BK211" s="30">
        <f t="shared" si="128"/>
        <v>4000</v>
      </c>
      <c r="BL211" s="30"/>
      <c r="BM211" s="10">
        <f t="shared" si="129"/>
        <v>0</v>
      </c>
      <c r="BN211" s="7"/>
      <c r="BO211" s="7"/>
      <c r="BP211" s="7"/>
      <c r="BQ211" s="7"/>
      <c r="BR211" s="7"/>
      <c r="BS211" s="7"/>
      <c r="BT211" s="7"/>
      <c r="BU211" s="7"/>
      <c r="BV211" s="7"/>
    </row>
    <row r="212" spans="17:74" ht="12.75">
      <c r="Q212" s="44">
        <f t="shared" si="131"/>
        <v>6</v>
      </c>
      <c r="R212" s="68">
        <v>160</v>
      </c>
      <c r="S212" s="68" t="s">
        <v>165</v>
      </c>
      <c r="T212" s="30">
        <f t="shared" si="130"/>
        <v>6</v>
      </c>
      <c r="U212" s="30" t="str">
        <f>AG192</f>
        <v>Multicalor 45</v>
      </c>
      <c r="V212" s="10"/>
      <c r="W212" s="31">
        <f t="shared" si="108"/>
        <v>40</v>
      </c>
      <c r="X212" s="30"/>
      <c r="Y212" s="30">
        <f t="shared" si="109"/>
        <v>65</v>
      </c>
      <c r="Z212" s="30"/>
      <c r="AA212" s="30">
        <f t="shared" si="110"/>
        <v>110</v>
      </c>
      <c r="AB212" s="30"/>
      <c r="AC212" s="30">
        <f t="shared" si="111"/>
        <v>100</v>
      </c>
      <c r="AD212" s="30"/>
      <c r="AE212" s="30">
        <f t="shared" si="112"/>
        <v>110</v>
      </c>
      <c r="AF212" s="30"/>
      <c r="AG212" s="30">
        <f t="shared" si="113"/>
        <v>500</v>
      </c>
      <c r="AH212" s="30"/>
      <c r="AI212" s="30">
        <f t="shared" si="114"/>
        <v>700</v>
      </c>
      <c r="AJ212" s="30"/>
      <c r="AK212" s="30">
        <f t="shared" si="115"/>
        <v>1000</v>
      </c>
      <c r="AL212" s="30"/>
      <c r="AM212" s="30">
        <f t="shared" si="116"/>
        <v>1300</v>
      </c>
      <c r="AN212" s="30"/>
      <c r="AO212" s="30">
        <f t="shared" si="117"/>
        <v>1770</v>
      </c>
      <c r="AP212" s="30"/>
      <c r="AQ212" s="30">
        <f t="shared" si="118"/>
        <v>2150</v>
      </c>
      <c r="AR212" s="30"/>
      <c r="AS212" s="30">
        <f t="shared" si="119"/>
        <v>3000</v>
      </c>
      <c r="AT212" s="30"/>
      <c r="AU212" s="30">
        <f t="shared" si="120"/>
        <v>3900</v>
      </c>
      <c r="AV212" s="30"/>
      <c r="AW212" s="30">
        <f t="shared" si="121"/>
        <v>5000</v>
      </c>
      <c r="AX212" s="30"/>
      <c r="AY212" s="30">
        <f t="shared" si="122"/>
        <v>5800</v>
      </c>
      <c r="AZ212" s="30"/>
      <c r="BA212" s="30">
        <f t="shared" si="123"/>
        <v>7250</v>
      </c>
      <c r="BB212" s="30"/>
      <c r="BC212" s="30">
        <f t="shared" si="124"/>
        <v>2000</v>
      </c>
      <c r="BD212" s="30"/>
      <c r="BE212" s="30">
        <f t="shared" si="125"/>
        <v>10500</v>
      </c>
      <c r="BF212" s="30"/>
      <c r="BG212" s="30">
        <f t="shared" si="126"/>
        <v>13100</v>
      </c>
      <c r="BH212" s="30"/>
      <c r="BI212" s="30">
        <f t="shared" si="127"/>
        <v>3700</v>
      </c>
      <c r="BJ212" s="30"/>
      <c r="BK212" s="30">
        <f t="shared" si="128"/>
        <v>4000</v>
      </c>
      <c r="BL212" s="30"/>
      <c r="BM212" s="10">
        <f t="shared" si="129"/>
        <v>0</v>
      </c>
      <c r="BN212" s="7"/>
      <c r="BO212" s="7"/>
      <c r="BP212" s="7"/>
      <c r="BQ212" s="7"/>
      <c r="BR212" s="7"/>
      <c r="BS212" s="7"/>
      <c r="BT212" s="7"/>
      <c r="BU212" s="7"/>
      <c r="BV212" s="7"/>
    </row>
    <row r="213" spans="17:74" ht="12.75">
      <c r="Q213" s="44">
        <f t="shared" si="131"/>
        <v>7</v>
      </c>
      <c r="R213" s="68">
        <v>180</v>
      </c>
      <c r="S213" s="68" t="s">
        <v>166</v>
      </c>
      <c r="T213" s="30">
        <f t="shared" si="130"/>
        <v>7</v>
      </c>
      <c r="U213" s="30" t="str">
        <f>AI192</f>
        <v>Multicalor 70</v>
      </c>
      <c r="V213" s="10"/>
      <c r="W213" s="31">
        <f t="shared" si="108"/>
        <v>40</v>
      </c>
      <c r="X213" s="30"/>
      <c r="Y213" s="30">
        <f t="shared" si="109"/>
        <v>65</v>
      </c>
      <c r="Z213" s="30"/>
      <c r="AA213" s="30">
        <f t="shared" si="110"/>
        <v>110</v>
      </c>
      <c r="AB213" s="30"/>
      <c r="AC213" s="30">
        <f t="shared" si="111"/>
        <v>200</v>
      </c>
      <c r="AD213" s="30"/>
      <c r="AE213" s="30">
        <f t="shared" si="112"/>
        <v>345</v>
      </c>
      <c r="AF213" s="30"/>
      <c r="AG213" s="30">
        <f t="shared" si="113"/>
        <v>500</v>
      </c>
      <c r="AH213" s="30"/>
      <c r="AI213" s="30">
        <f t="shared" si="114"/>
        <v>700</v>
      </c>
      <c r="AJ213" s="30"/>
      <c r="AK213" s="30">
        <f t="shared" si="115"/>
        <v>1000</v>
      </c>
      <c r="AL213" s="30"/>
      <c r="AM213" s="30">
        <f t="shared" si="116"/>
        <v>1300</v>
      </c>
      <c r="AN213" s="30"/>
      <c r="AO213" s="30">
        <f t="shared" si="117"/>
        <v>1770</v>
      </c>
      <c r="AP213" s="30"/>
      <c r="AQ213" s="30">
        <f t="shared" si="118"/>
        <v>2150</v>
      </c>
      <c r="AR213" s="30"/>
      <c r="AS213" s="30">
        <f t="shared" si="119"/>
        <v>3000</v>
      </c>
      <c r="AT213" s="30"/>
      <c r="AU213" s="30">
        <f t="shared" si="120"/>
        <v>3900</v>
      </c>
      <c r="AV213" s="30"/>
      <c r="AW213" s="30">
        <f t="shared" si="121"/>
        <v>5000</v>
      </c>
      <c r="AX213" s="30"/>
      <c r="AY213" s="30">
        <f t="shared" si="122"/>
        <v>5800</v>
      </c>
      <c r="AZ213" s="30"/>
      <c r="BA213" s="30">
        <f t="shared" si="123"/>
        <v>7250</v>
      </c>
      <c r="BB213" s="30"/>
      <c r="BC213" s="30">
        <f t="shared" si="124"/>
        <v>2000</v>
      </c>
      <c r="BD213" s="30"/>
      <c r="BE213" s="30">
        <f t="shared" si="125"/>
        <v>10500</v>
      </c>
      <c r="BF213" s="30"/>
      <c r="BG213" s="30">
        <f t="shared" si="126"/>
        <v>13100</v>
      </c>
      <c r="BH213" s="30"/>
      <c r="BI213" s="30">
        <f t="shared" si="127"/>
        <v>15000</v>
      </c>
      <c r="BJ213" s="30"/>
      <c r="BK213" s="30">
        <f t="shared" si="128"/>
        <v>17000</v>
      </c>
      <c r="BL213" s="30"/>
      <c r="BM213" s="10">
        <f t="shared" si="129"/>
        <v>0</v>
      </c>
      <c r="BN213" s="7"/>
      <c r="BO213" s="7"/>
      <c r="BP213" s="7"/>
      <c r="BQ213" s="7"/>
      <c r="BR213" s="7"/>
      <c r="BS213" s="7"/>
      <c r="BT213" s="7"/>
      <c r="BU213" s="7"/>
      <c r="BV213" s="7"/>
    </row>
    <row r="214" spans="17:74" ht="12.75">
      <c r="Q214" s="44">
        <f t="shared" si="131"/>
        <v>8</v>
      </c>
      <c r="R214" s="68">
        <v>190</v>
      </c>
      <c r="S214" s="68" t="s">
        <v>166</v>
      </c>
      <c r="T214" s="30">
        <f t="shared" si="130"/>
        <v>8</v>
      </c>
      <c r="U214" s="30" t="str">
        <f>AK192</f>
        <v>Multicalor 100</v>
      </c>
      <c r="V214" s="10"/>
      <c r="W214" s="31">
        <f t="shared" si="108"/>
        <v>40</v>
      </c>
      <c r="X214" s="30"/>
      <c r="Y214" s="30">
        <f t="shared" si="109"/>
        <v>65</v>
      </c>
      <c r="Z214" s="30"/>
      <c r="AA214" s="30">
        <f t="shared" si="110"/>
        <v>110</v>
      </c>
      <c r="AB214" s="30"/>
      <c r="AC214" s="30">
        <f t="shared" si="111"/>
        <v>200</v>
      </c>
      <c r="AD214" s="30"/>
      <c r="AE214" s="30">
        <f t="shared" si="112"/>
        <v>345</v>
      </c>
      <c r="AF214" s="30"/>
      <c r="AG214" s="30">
        <f t="shared" si="113"/>
        <v>500</v>
      </c>
      <c r="AH214" s="30"/>
      <c r="AI214" s="30">
        <f t="shared" si="114"/>
        <v>700</v>
      </c>
      <c r="AJ214" s="30"/>
      <c r="AK214" s="30">
        <f t="shared" si="115"/>
        <v>1000</v>
      </c>
      <c r="AL214" s="30"/>
      <c r="AM214" s="30">
        <f t="shared" si="116"/>
        <v>1300</v>
      </c>
      <c r="AN214" s="30"/>
      <c r="AO214" s="30">
        <f t="shared" si="117"/>
        <v>1770</v>
      </c>
      <c r="AP214" s="30"/>
      <c r="AQ214" s="30">
        <f t="shared" si="118"/>
        <v>2150</v>
      </c>
      <c r="AR214" s="30"/>
      <c r="AS214" s="30">
        <f t="shared" si="119"/>
        <v>3000</v>
      </c>
      <c r="AT214" s="30"/>
      <c r="AU214" s="30">
        <f t="shared" si="120"/>
        <v>3900</v>
      </c>
      <c r="AV214" s="30"/>
      <c r="AW214" s="30">
        <f t="shared" si="121"/>
        <v>5000</v>
      </c>
      <c r="AX214" s="30"/>
      <c r="AY214" s="30">
        <f t="shared" si="122"/>
        <v>5800</v>
      </c>
      <c r="AZ214" s="30"/>
      <c r="BA214" s="30">
        <f t="shared" si="123"/>
        <v>7250</v>
      </c>
      <c r="BB214" s="30"/>
      <c r="BC214" s="30">
        <f t="shared" si="124"/>
        <v>8500</v>
      </c>
      <c r="BD214" s="30"/>
      <c r="BE214" s="30">
        <f t="shared" si="125"/>
        <v>10500</v>
      </c>
      <c r="BF214" s="30"/>
      <c r="BG214" s="30">
        <f t="shared" si="126"/>
        <v>13100</v>
      </c>
      <c r="BH214" s="30"/>
      <c r="BI214" s="30">
        <f t="shared" si="127"/>
        <v>15000</v>
      </c>
      <c r="BJ214" s="30"/>
      <c r="BK214" s="30">
        <f t="shared" si="128"/>
        <v>17000</v>
      </c>
      <c r="BL214" s="30"/>
      <c r="BM214" s="10">
        <f t="shared" si="129"/>
        <v>0</v>
      </c>
      <c r="BN214" s="7"/>
      <c r="BO214" s="7"/>
      <c r="BP214" s="7"/>
      <c r="BQ214" s="7"/>
      <c r="BR214" s="7"/>
      <c r="BS214" s="7"/>
      <c r="BT214" s="7"/>
      <c r="BU214" s="7"/>
      <c r="BV214" s="7"/>
    </row>
    <row r="215" spans="17:74" ht="12.75">
      <c r="Q215" s="44">
        <f t="shared" si="131"/>
        <v>9</v>
      </c>
      <c r="R215" s="68">
        <v>215</v>
      </c>
      <c r="S215" s="68" t="s">
        <v>167</v>
      </c>
      <c r="T215" s="30">
        <f t="shared" si="130"/>
        <v>9</v>
      </c>
      <c r="U215" s="30" t="str">
        <f>AM192</f>
        <v>Multicalor140</v>
      </c>
      <c r="V215" s="10"/>
      <c r="W215" s="31">
        <f t="shared" si="108"/>
        <v>40</v>
      </c>
      <c r="X215" s="30"/>
      <c r="Y215" s="30">
        <f t="shared" si="109"/>
        <v>65</v>
      </c>
      <c r="Z215" s="30"/>
      <c r="AA215" s="30">
        <f t="shared" si="110"/>
        <v>110</v>
      </c>
      <c r="AB215" s="30"/>
      <c r="AC215" s="30">
        <f t="shared" si="111"/>
        <v>200</v>
      </c>
      <c r="AD215" s="30"/>
      <c r="AE215" s="30">
        <f t="shared" si="112"/>
        <v>345</v>
      </c>
      <c r="AF215" s="30"/>
      <c r="AG215" s="30">
        <f t="shared" si="113"/>
        <v>500</v>
      </c>
      <c r="AH215" s="30"/>
      <c r="AI215" s="30">
        <f t="shared" si="114"/>
        <v>700</v>
      </c>
      <c r="AJ215" s="30"/>
      <c r="AK215" s="30">
        <f t="shared" si="115"/>
        <v>1000</v>
      </c>
      <c r="AL215" s="30"/>
      <c r="AM215" s="30">
        <f t="shared" si="116"/>
        <v>1300</v>
      </c>
      <c r="AN215" s="30"/>
      <c r="AO215" s="30">
        <f t="shared" si="117"/>
        <v>1770</v>
      </c>
      <c r="AP215" s="30"/>
      <c r="AQ215" s="30">
        <f t="shared" si="118"/>
        <v>2150</v>
      </c>
      <c r="AR215" s="30"/>
      <c r="AS215" s="30">
        <f t="shared" si="119"/>
        <v>3000</v>
      </c>
      <c r="AT215" s="30"/>
      <c r="AU215" s="30">
        <f t="shared" si="120"/>
        <v>3900</v>
      </c>
      <c r="AV215" s="30"/>
      <c r="AW215" s="30">
        <f t="shared" si="121"/>
        <v>5000</v>
      </c>
      <c r="AX215" s="30"/>
      <c r="AY215" s="30">
        <f t="shared" si="122"/>
        <v>5800</v>
      </c>
      <c r="AZ215" s="30"/>
      <c r="BA215" s="30">
        <f t="shared" si="123"/>
        <v>7250</v>
      </c>
      <c r="BB215" s="30"/>
      <c r="BC215" s="30">
        <f t="shared" si="124"/>
        <v>8500</v>
      </c>
      <c r="BD215" s="30"/>
      <c r="BE215" s="30">
        <f t="shared" si="125"/>
        <v>10500</v>
      </c>
      <c r="BF215" s="30"/>
      <c r="BG215" s="30">
        <f t="shared" si="126"/>
        <v>13100</v>
      </c>
      <c r="BH215" s="30"/>
      <c r="BI215" s="30">
        <f t="shared" si="127"/>
        <v>15000</v>
      </c>
      <c r="BJ215" s="30"/>
      <c r="BK215" s="30">
        <f t="shared" si="128"/>
        <v>17000</v>
      </c>
      <c r="BL215" s="30"/>
      <c r="BM215" s="10">
        <f t="shared" si="129"/>
        <v>0</v>
      </c>
      <c r="BN215" s="7"/>
      <c r="BO215" s="7"/>
      <c r="BP215" s="7"/>
      <c r="BQ215" s="7"/>
      <c r="BR215" s="7"/>
      <c r="BS215" s="7"/>
      <c r="BT215" s="7"/>
      <c r="BU215" s="7"/>
      <c r="BV215" s="7"/>
    </row>
    <row r="216" spans="17:74" ht="12.75">
      <c r="Q216" s="44">
        <f t="shared" si="131"/>
        <v>10</v>
      </c>
      <c r="R216" s="68">
        <v>250</v>
      </c>
      <c r="S216" s="68" t="s">
        <v>168</v>
      </c>
      <c r="T216" s="30">
        <f t="shared" si="130"/>
        <v>10</v>
      </c>
      <c r="U216" s="30" t="str">
        <f>AO192</f>
        <v>Multicalor 170.1</v>
      </c>
      <c r="V216" s="10"/>
      <c r="W216" s="31">
        <f t="shared" si="108"/>
        <v>40</v>
      </c>
      <c r="X216" s="30"/>
      <c r="Y216" s="30">
        <f t="shared" si="109"/>
        <v>65</v>
      </c>
      <c r="Z216" s="30"/>
      <c r="AA216" s="30">
        <f t="shared" si="110"/>
        <v>110</v>
      </c>
      <c r="AB216" s="30"/>
      <c r="AC216" s="30">
        <f t="shared" si="111"/>
        <v>200</v>
      </c>
      <c r="AD216" s="30"/>
      <c r="AE216" s="30">
        <f t="shared" si="112"/>
        <v>345</v>
      </c>
      <c r="AF216" s="30"/>
      <c r="AG216" s="30">
        <f t="shared" si="113"/>
        <v>500</v>
      </c>
      <c r="AH216" s="30"/>
      <c r="AI216" s="30">
        <f t="shared" si="114"/>
        <v>700</v>
      </c>
      <c r="AJ216" s="30"/>
      <c r="AK216" s="30">
        <f t="shared" si="115"/>
        <v>1000</v>
      </c>
      <c r="AL216" s="30"/>
      <c r="AM216" s="30">
        <f t="shared" si="116"/>
        <v>1300</v>
      </c>
      <c r="AN216" s="30"/>
      <c r="AO216" s="30">
        <f t="shared" si="117"/>
        <v>1770</v>
      </c>
      <c r="AP216" s="30"/>
      <c r="AQ216" s="30">
        <f t="shared" si="118"/>
        <v>2150</v>
      </c>
      <c r="AR216" s="30"/>
      <c r="AS216" s="30">
        <f t="shared" si="119"/>
        <v>3000</v>
      </c>
      <c r="AT216" s="30"/>
      <c r="AU216" s="30">
        <f t="shared" si="120"/>
        <v>3900</v>
      </c>
      <c r="AV216" s="30"/>
      <c r="AW216" s="30">
        <f t="shared" si="121"/>
        <v>5000</v>
      </c>
      <c r="AX216" s="30"/>
      <c r="AY216" s="30">
        <f t="shared" si="122"/>
        <v>5800</v>
      </c>
      <c r="AZ216" s="30"/>
      <c r="BA216" s="30">
        <f t="shared" si="123"/>
        <v>7250</v>
      </c>
      <c r="BB216" s="30"/>
      <c r="BC216" s="30">
        <f t="shared" si="124"/>
        <v>8500</v>
      </c>
      <c r="BD216" s="30"/>
      <c r="BE216" s="30">
        <f t="shared" si="125"/>
        <v>10500</v>
      </c>
      <c r="BF216" s="30"/>
      <c r="BG216" s="30">
        <f t="shared" si="126"/>
        <v>13100</v>
      </c>
      <c r="BH216" s="30"/>
      <c r="BI216" s="30">
        <f t="shared" si="127"/>
        <v>15000</v>
      </c>
      <c r="BJ216" s="30"/>
      <c r="BK216" s="30">
        <f t="shared" si="128"/>
        <v>17000</v>
      </c>
      <c r="BL216" s="30"/>
      <c r="BM216" s="10">
        <f t="shared" si="129"/>
        <v>0</v>
      </c>
      <c r="BN216" s="7"/>
      <c r="BO216" s="7"/>
      <c r="BP216" s="7"/>
      <c r="BQ216" s="7"/>
      <c r="BR216" s="7"/>
      <c r="BS216" s="7"/>
      <c r="BT216" s="7"/>
      <c r="BU216" s="7"/>
      <c r="BV216" s="7"/>
    </row>
    <row r="217" spans="17:74" ht="12.75">
      <c r="Q217" s="44">
        <f t="shared" si="131"/>
        <v>11</v>
      </c>
      <c r="R217" s="68">
        <v>270</v>
      </c>
      <c r="S217" s="68" t="s">
        <v>135</v>
      </c>
      <c r="T217" s="30">
        <f t="shared" si="130"/>
        <v>11</v>
      </c>
      <c r="U217" s="30" t="str">
        <f>AQ192</f>
        <v>Multicalor 200.1</v>
      </c>
      <c r="V217" s="10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7"/>
      <c r="BN217" s="7"/>
      <c r="BO217" s="7"/>
      <c r="BP217" s="7"/>
      <c r="BQ217" s="7"/>
      <c r="BR217" s="7"/>
      <c r="BS217" s="7"/>
      <c r="BT217" s="7"/>
      <c r="BU217" s="7"/>
      <c r="BV217" s="7"/>
    </row>
    <row r="218" spans="17:74" ht="12.75">
      <c r="Q218" s="44">
        <f t="shared" si="131"/>
        <v>12</v>
      </c>
      <c r="R218" s="68">
        <v>290</v>
      </c>
      <c r="S218" s="68" t="s">
        <v>169</v>
      </c>
      <c r="T218" s="30">
        <f t="shared" si="130"/>
        <v>12</v>
      </c>
      <c r="U218" s="30" t="str">
        <f>AS192</f>
        <v>Multicalor 300.1</v>
      </c>
      <c r="V218" s="10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</row>
    <row r="219" spans="17:74" ht="12.75">
      <c r="Q219" s="44">
        <f t="shared" si="131"/>
        <v>13</v>
      </c>
      <c r="R219" s="68">
        <v>320</v>
      </c>
      <c r="S219" s="68" t="s">
        <v>170</v>
      </c>
      <c r="T219" s="30">
        <f t="shared" si="130"/>
        <v>13</v>
      </c>
      <c r="U219" s="30" t="str">
        <f>AU192</f>
        <v>Multicalor 400.1</v>
      </c>
      <c r="V219" s="10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</row>
    <row r="220" spans="17:74" ht="12.75">
      <c r="Q220" s="44">
        <f t="shared" si="131"/>
        <v>14</v>
      </c>
      <c r="R220" s="68">
        <v>320</v>
      </c>
      <c r="S220" s="68" t="s">
        <v>171</v>
      </c>
      <c r="T220" s="30">
        <f t="shared" si="130"/>
        <v>14</v>
      </c>
      <c r="U220" s="30" t="str">
        <f>AW192</f>
        <v>Multicalor 500.1</v>
      </c>
      <c r="V220" s="10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</row>
    <row r="221" spans="17:74" ht="12.75">
      <c r="Q221" s="44">
        <f t="shared" si="131"/>
        <v>15</v>
      </c>
      <c r="R221" s="68">
        <v>320</v>
      </c>
      <c r="S221" s="68" t="s">
        <v>171</v>
      </c>
      <c r="T221" s="30">
        <f t="shared" si="130"/>
        <v>15</v>
      </c>
      <c r="U221" s="30" t="str">
        <f>AY192</f>
        <v>Multicalor 600.1</v>
      </c>
      <c r="V221" s="10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</row>
    <row r="222" spans="17:74" ht="12.75">
      <c r="Q222" s="44">
        <f t="shared" si="131"/>
        <v>16</v>
      </c>
      <c r="R222" s="68">
        <v>420</v>
      </c>
      <c r="S222" s="68">
        <v>470</v>
      </c>
      <c r="T222" s="30">
        <f t="shared" si="130"/>
        <v>16</v>
      </c>
      <c r="U222" s="30" t="str">
        <f>BA192</f>
        <v>Multicalor 700.1</v>
      </c>
      <c r="V222" s="10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</row>
    <row r="223" spans="17:74" ht="12.75">
      <c r="Q223" s="44">
        <f t="shared" si="131"/>
        <v>17</v>
      </c>
      <c r="R223" s="68">
        <v>420</v>
      </c>
      <c r="S223" s="68">
        <v>470</v>
      </c>
      <c r="T223" s="30">
        <f t="shared" si="130"/>
        <v>17</v>
      </c>
      <c r="U223" s="30" t="str">
        <f>BC192</f>
        <v>Multicalor 800.1</v>
      </c>
      <c r="V223" s="10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</row>
    <row r="224" spans="17:74" ht="12.75">
      <c r="Q224" s="44">
        <f t="shared" si="131"/>
        <v>18</v>
      </c>
      <c r="R224" s="68">
        <v>420</v>
      </c>
      <c r="S224" s="68">
        <v>470</v>
      </c>
      <c r="T224" s="30">
        <f t="shared" si="130"/>
        <v>18</v>
      </c>
      <c r="U224" s="30" t="str">
        <f>BE192</f>
        <v>Multicalor 1000.1</v>
      </c>
      <c r="V224" s="10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</row>
    <row r="225" spans="17:74" ht="12.75">
      <c r="Q225" s="44">
        <f t="shared" si="131"/>
        <v>19</v>
      </c>
      <c r="R225" s="68">
        <v>450</v>
      </c>
      <c r="S225" s="68">
        <v>470</v>
      </c>
      <c r="T225" s="30">
        <f t="shared" si="130"/>
        <v>19</v>
      </c>
      <c r="U225" s="30" t="str">
        <f>BG192</f>
        <v>Multicalor 1200.1</v>
      </c>
      <c r="V225" s="10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</row>
    <row r="226" spans="17:74" ht="12.75">
      <c r="Q226" s="44">
        <f t="shared" si="131"/>
        <v>20</v>
      </c>
      <c r="R226" s="68">
        <v>550</v>
      </c>
      <c r="S226" s="68">
        <v>590</v>
      </c>
      <c r="T226" s="30">
        <f t="shared" si="130"/>
        <v>20</v>
      </c>
      <c r="U226" s="30" t="str">
        <f>BI192</f>
        <v>Multicalor 1500.1</v>
      </c>
      <c r="V226" s="10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</row>
    <row r="227" spans="17:74" ht="12.75">
      <c r="Q227" s="44">
        <f t="shared" si="131"/>
        <v>21</v>
      </c>
      <c r="R227" s="68">
        <v>550</v>
      </c>
      <c r="S227" s="68">
        <v>590</v>
      </c>
      <c r="T227" s="30">
        <f t="shared" si="130"/>
        <v>21</v>
      </c>
      <c r="U227" s="30" t="str">
        <f>BK192</f>
        <v>Multicalor 1800.1</v>
      </c>
      <c r="V227" s="10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</row>
    <row r="228" spans="17:64" ht="12.75">
      <c r="Q228">
        <f t="shared" si="131"/>
        <v>22</v>
      </c>
      <c r="R228" s="22"/>
      <c r="S228" s="22"/>
      <c r="T228" s="10">
        <f t="shared" si="130"/>
        <v>22</v>
      </c>
      <c r="U228" s="10">
        <f>BM192</f>
        <v>0</v>
      </c>
      <c r="V228" s="10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</row>
    <row r="229" spans="17:64" ht="12.75">
      <c r="Q229">
        <f t="shared" si="131"/>
        <v>23</v>
      </c>
      <c r="R229" s="22"/>
      <c r="S229" s="22"/>
      <c r="T229" s="10"/>
      <c r="U229" s="10"/>
      <c r="V229" s="10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</row>
    <row r="230" spans="17:64" ht="12.75">
      <c r="Q230">
        <f t="shared" si="131"/>
        <v>24</v>
      </c>
      <c r="R230" s="22"/>
      <c r="S230" s="22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</row>
    <row r="231" spans="17:64" ht="12.75">
      <c r="Q231">
        <f t="shared" si="131"/>
        <v>25</v>
      </c>
      <c r="R231" s="22"/>
      <c r="S231" s="22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</row>
    <row r="232" spans="19:64" ht="12.75"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</row>
    <row r="233" spans="19:64" ht="12.75"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</row>
    <row r="234" spans="19:64" ht="12.75"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</row>
    <row r="235" spans="19:64" ht="12.75"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</row>
    <row r="236" spans="19:64" ht="12.75"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</row>
    <row r="237" spans="19:64" ht="12.75"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</row>
    <row r="238" spans="19:64" ht="12.75"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</row>
    <row r="239" spans="19:64" ht="12.75"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</row>
    <row r="240" spans="19:64" ht="12.75"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</row>
    <row r="241" spans="19:64" ht="12.75"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</row>
    <row r="242" spans="19:64" ht="12.75"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</row>
    <row r="243" spans="19:64" ht="12.75"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</row>
    <row r="244" spans="19:64" ht="12.75"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</row>
    <row r="245" spans="17:64" ht="12.75">
      <c r="Q245" t="s">
        <v>73</v>
      </c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</row>
    <row r="246" spans="17:64" ht="12.75">
      <c r="Q246" s="44"/>
      <c r="R246" s="44"/>
      <c r="S246" s="45"/>
      <c r="T246" s="45"/>
      <c r="U246" s="45"/>
      <c r="V246" s="45"/>
      <c r="W246" s="45"/>
      <c r="X246" s="45"/>
      <c r="Y246" s="45"/>
      <c r="Z246" s="45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</row>
    <row r="247" spans="17:66" ht="13.5" thickBot="1">
      <c r="Q247" s="44"/>
      <c r="R247" s="45"/>
      <c r="S247" s="45"/>
      <c r="T247" s="45"/>
      <c r="U247" s="45"/>
      <c r="V247" s="45"/>
      <c r="W247" s="45"/>
      <c r="X247" s="45"/>
      <c r="Y247" s="45"/>
      <c r="Z247" s="45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</row>
    <row r="248" spans="17:66" ht="13.5" thickBot="1">
      <c r="Q248" s="44"/>
      <c r="R248" s="45"/>
      <c r="S248" s="45"/>
      <c r="T248" s="45"/>
      <c r="U248" s="45"/>
      <c r="V248" s="45"/>
      <c r="W248" s="179" t="s">
        <v>26</v>
      </c>
      <c r="X248" s="180"/>
      <c r="Y248" s="181"/>
      <c r="Z248" s="45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</row>
    <row r="249" spans="17:66" ht="13.5" thickBot="1">
      <c r="Q249" s="44"/>
      <c r="R249" s="46" t="b">
        <v>0</v>
      </c>
      <c r="S249" s="45"/>
      <c r="T249" s="45"/>
      <c r="U249" s="45"/>
      <c r="V249" s="45"/>
      <c r="W249" s="45">
        <v>1</v>
      </c>
      <c r="X249" s="45"/>
      <c r="Y249" s="45">
        <v>2</v>
      </c>
      <c r="Z249" s="46"/>
      <c r="AA249" s="45">
        <v>3</v>
      </c>
      <c r="AB249" s="45"/>
      <c r="AC249" s="7">
        <v>4</v>
      </c>
      <c r="AD249" s="7"/>
      <c r="AE249" s="7">
        <v>5</v>
      </c>
      <c r="AF249" s="7"/>
      <c r="AG249" s="7">
        <v>6</v>
      </c>
      <c r="AH249" s="8"/>
      <c r="AI249" s="7">
        <v>7</v>
      </c>
      <c r="AJ249" s="7"/>
      <c r="AK249" s="7">
        <v>8</v>
      </c>
      <c r="AL249" s="7"/>
      <c r="AM249" s="7">
        <v>9</v>
      </c>
      <c r="AN249" s="18"/>
      <c r="AO249" s="7">
        <v>10</v>
      </c>
      <c r="AP249" s="8"/>
      <c r="AQ249" s="7">
        <v>11</v>
      </c>
      <c r="AR249" s="18"/>
      <c r="AS249" s="18">
        <v>12</v>
      </c>
      <c r="AT249" s="18"/>
      <c r="AU249" s="18">
        <v>13</v>
      </c>
      <c r="AV249" s="18"/>
      <c r="AW249" s="7">
        <v>14</v>
      </c>
      <c r="AX249" s="7"/>
      <c r="AY249" s="7">
        <v>15</v>
      </c>
      <c r="AZ249" s="7"/>
      <c r="BA249" s="7">
        <v>16</v>
      </c>
      <c r="BB249" s="7"/>
      <c r="BC249" s="7">
        <v>17</v>
      </c>
      <c r="BD249" s="7"/>
      <c r="BE249" s="7">
        <v>18</v>
      </c>
      <c r="BF249" s="7"/>
      <c r="BG249" s="7">
        <v>18</v>
      </c>
      <c r="BH249" s="7"/>
      <c r="BI249" s="7">
        <v>20</v>
      </c>
      <c r="BJ249" s="7"/>
      <c r="BK249" s="7">
        <v>21</v>
      </c>
      <c r="BL249" s="7"/>
      <c r="BM249" s="7">
        <v>22</v>
      </c>
      <c r="BN249" s="7"/>
    </row>
    <row r="250" spans="17:66" ht="13.5" thickBot="1">
      <c r="Q250" s="44"/>
      <c r="R250" s="45"/>
      <c r="S250" s="45"/>
      <c r="T250" s="46">
        <f>IF(R249=FALSE,U246,T251)</f>
        <v>0</v>
      </c>
      <c r="U250" s="167" t="e">
        <f>HLOOKUP(T250,W249:BN274,2)</f>
        <v>#N/A</v>
      </c>
      <c r="V250" s="167"/>
      <c r="W250" s="158" t="s">
        <v>172</v>
      </c>
      <c r="X250" s="159"/>
      <c r="Y250" s="158" t="s">
        <v>173</v>
      </c>
      <c r="Z250" s="159"/>
      <c r="AA250" s="158" t="s">
        <v>174</v>
      </c>
      <c r="AB250" s="159"/>
      <c r="AC250" s="158" t="s">
        <v>175</v>
      </c>
      <c r="AD250" s="159"/>
      <c r="AE250" s="158" t="s">
        <v>176</v>
      </c>
      <c r="AF250" s="159"/>
      <c r="AG250" s="158" t="s">
        <v>177</v>
      </c>
      <c r="AH250" s="159"/>
      <c r="AI250" s="158" t="s">
        <v>178</v>
      </c>
      <c r="AJ250" s="159"/>
      <c r="AK250" s="158" t="s">
        <v>179</v>
      </c>
      <c r="AL250" s="159"/>
      <c r="AM250" s="158" t="s">
        <v>180</v>
      </c>
      <c r="AN250" s="159"/>
      <c r="AO250" s="158" t="s">
        <v>181</v>
      </c>
      <c r="AP250" s="159"/>
      <c r="AQ250" s="158" t="s">
        <v>182</v>
      </c>
      <c r="AR250" s="159"/>
      <c r="AS250" s="158" t="s">
        <v>183</v>
      </c>
      <c r="AT250" s="159"/>
      <c r="AU250" s="158" t="s">
        <v>184</v>
      </c>
      <c r="AV250" s="159"/>
      <c r="AW250" s="158" t="s">
        <v>185</v>
      </c>
      <c r="AX250" s="159"/>
      <c r="AY250" s="158" t="s">
        <v>186</v>
      </c>
      <c r="AZ250" s="159"/>
      <c r="BA250" s="80"/>
      <c r="BB250" s="80"/>
      <c r="BC250" s="80"/>
      <c r="BD250" s="80"/>
      <c r="BE250" s="80"/>
      <c r="BF250" s="80"/>
      <c r="BG250" s="80"/>
      <c r="BH250" s="80"/>
      <c r="BI250" s="80"/>
      <c r="BJ250" s="80"/>
      <c r="BK250" s="80"/>
      <c r="BL250" s="80"/>
      <c r="BM250" s="80"/>
      <c r="BN250" s="80"/>
    </row>
    <row r="251" spans="17:66" ht="13.5" thickBot="1">
      <c r="Q251" s="44"/>
      <c r="R251" s="45"/>
      <c r="S251" s="45"/>
      <c r="T251" s="45">
        <v>9</v>
      </c>
      <c r="U251" s="47" t="s">
        <v>5</v>
      </c>
      <c r="V251" s="47" t="s">
        <v>6</v>
      </c>
      <c r="W251" s="31" t="s">
        <v>5</v>
      </c>
      <c r="X251" s="30" t="s">
        <v>3</v>
      </c>
      <c r="Y251" s="30" t="s">
        <v>5</v>
      </c>
      <c r="Z251" s="30" t="s">
        <v>3</v>
      </c>
      <c r="AA251" s="30" t="s">
        <v>5</v>
      </c>
      <c r="AB251" s="30" t="s">
        <v>3</v>
      </c>
      <c r="AC251" s="30" t="s">
        <v>5</v>
      </c>
      <c r="AD251" s="30" t="s">
        <v>3</v>
      </c>
      <c r="AE251" s="30" t="s">
        <v>5</v>
      </c>
      <c r="AF251" s="30" t="s">
        <v>3</v>
      </c>
      <c r="AG251" s="30" t="s">
        <v>5</v>
      </c>
      <c r="AH251" s="30" t="s">
        <v>3</v>
      </c>
      <c r="AI251" s="30" t="s">
        <v>5</v>
      </c>
      <c r="AJ251" s="30" t="s">
        <v>3</v>
      </c>
      <c r="AK251" s="30" t="s">
        <v>5</v>
      </c>
      <c r="AL251" s="30" t="s">
        <v>3</v>
      </c>
      <c r="AM251" s="30" t="s">
        <v>5</v>
      </c>
      <c r="AN251" s="30" t="s">
        <v>3</v>
      </c>
      <c r="AO251" s="30" t="s">
        <v>5</v>
      </c>
      <c r="AP251" s="30" t="s">
        <v>3</v>
      </c>
      <c r="AQ251" s="30" t="s">
        <v>5</v>
      </c>
      <c r="AR251" s="30" t="s">
        <v>3</v>
      </c>
      <c r="AS251" s="30" t="s">
        <v>5</v>
      </c>
      <c r="AT251" s="30" t="s">
        <v>3</v>
      </c>
      <c r="AU251" s="30" t="s">
        <v>5</v>
      </c>
      <c r="AV251" s="30" t="s">
        <v>3</v>
      </c>
      <c r="AW251" s="30" t="s">
        <v>5</v>
      </c>
      <c r="AX251" s="30" t="s">
        <v>3</v>
      </c>
      <c r="AY251" s="30" t="s">
        <v>5</v>
      </c>
      <c r="AZ251" s="30" t="s">
        <v>3</v>
      </c>
      <c r="BA251" s="81"/>
      <c r="BB251" s="81"/>
      <c r="BC251" s="81"/>
      <c r="BD251" s="81"/>
      <c r="BE251" s="81"/>
      <c r="BF251" s="81"/>
      <c r="BG251" s="81"/>
      <c r="BH251" s="81"/>
      <c r="BI251" s="81"/>
      <c r="BJ251" s="81"/>
      <c r="BK251" s="81"/>
      <c r="BL251" s="81"/>
      <c r="BM251" s="81"/>
      <c r="BN251" s="81"/>
    </row>
    <row r="252" spans="17:66" ht="13.5" thickBot="1">
      <c r="Q252" s="44"/>
      <c r="R252" s="45"/>
      <c r="S252" s="45"/>
      <c r="T252" s="45"/>
      <c r="U252" s="33" t="e">
        <f>HLOOKUP($T$250,$W$249:$BN$274,4)</f>
        <v>#N/A</v>
      </c>
      <c r="V252" s="33" t="e">
        <f>HLOOKUP($T$250,$W$249:$BN$274,16)*T2</f>
        <v>#N/A</v>
      </c>
      <c r="W252" s="35">
        <v>0</v>
      </c>
      <c r="X252" s="36">
        <v>500</v>
      </c>
      <c r="Y252" s="31">
        <v>0</v>
      </c>
      <c r="Z252" s="30">
        <v>700</v>
      </c>
      <c r="AA252" s="30">
        <v>0</v>
      </c>
      <c r="AB252" s="30">
        <v>1200</v>
      </c>
      <c r="AC252" s="30">
        <v>0</v>
      </c>
      <c r="AD252" s="30">
        <v>1770</v>
      </c>
      <c r="AE252" s="30">
        <v>0</v>
      </c>
      <c r="AF252" s="30">
        <v>2150</v>
      </c>
      <c r="AG252" s="30">
        <v>0</v>
      </c>
      <c r="AH252" s="30">
        <v>3000</v>
      </c>
      <c r="AI252" s="30">
        <v>0</v>
      </c>
      <c r="AJ252" s="30">
        <v>3900</v>
      </c>
      <c r="AK252" s="30">
        <v>0</v>
      </c>
      <c r="AL252" s="30">
        <v>5000</v>
      </c>
      <c r="AM252" s="30">
        <v>0</v>
      </c>
      <c r="AN252" s="30">
        <v>5800</v>
      </c>
      <c r="AO252" s="30">
        <v>0</v>
      </c>
      <c r="AP252" s="30">
        <v>7500</v>
      </c>
      <c r="AQ252" s="30">
        <v>0</v>
      </c>
      <c r="AR252" s="30">
        <v>8500</v>
      </c>
      <c r="AS252" s="30">
        <v>0</v>
      </c>
      <c r="AT252" s="30">
        <v>10500</v>
      </c>
      <c r="AU252" s="42">
        <v>0</v>
      </c>
      <c r="AV252" s="42">
        <v>13100</v>
      </c>
      <c r="AW252" s="30">
        <v>0</v>
      </c>
      <c r="AX252" s="30">
        <v>15000</v>
      </c>
      <c r="AY252" s="30">
        <v>0</v>
      </c>
      <c r="AZ252" s="30">
        <v>17000</v>
      </c>
      <c r="BA252" s="81"/>
      <c r="BB252" s="81"/>
      <c r="BC252" s="81"/>
      <c r="BD252" s="81"/>
      <c r="BE252" s="81"/>
      <c r="BF252" s="81"/>
      <c r="BG252" s="81"/>
      <c r="BH252" s="81"/>
      <c r="BI252" s="81"/>
      <c r="BJ252" s="81"/>
      <c r="BK252" s="81"/>
      <c r="BL252" s="81"/>
      <c r="BM252" s="81"/>
      <c r="BN252" s="81"/>
    </row>
    <row r="253" spans="17:66" ht="13.5" thickBot="1">
      <c r="Q253" s="44"/>
      <c r="R253" s="45"/>
      <c r="S253" s="45"/>
      <c r="T253" s="45"/>
      <c r="U253" s="33" t="e">
        <f>HLOOKUP($T$250,$W$249:$BN$274,5)</f>
        <v>#N/A</v>
      </c>
      <c r="V253" s="33" t="e">
        <f>HLOOKUP($T$250,$W$249:$BN$274,17)*T2</f>
        <v>#N/A</v>
      </c>
      <c r="W253" s="35">
        <v>1.5</v>
      </c>
      <c r="X253" s="36">
        <v>500</v>
      </c>
      <c r="Y253" s="31">
        <v>2.8</v>
      </c>
      <c r="Z253" s="30">
        <v>700</v>
      </c>
      <c r="AA253" s="30">
        <v>2</v>
      </c>
      <c r="AB253" s="30">
        <v>1200</v>
      </c>
      <c r="AC253" s="30">
        <v>10</v>
      </c>
      <c r="AD253" s="30">
        <v>1500</v>
      </c>
      <c r="AE253" s="30">
        <v>11</v>
      </c>
      <c r="AF253" s="30">
        <v>1750</v>
      </c>
      <c r="AG253" s="30">
        <v>13</v>
      </c>
      <c r="AH253" s="30">
        <v>2400</v>
      </c>
      <c r="AI253" s="30">
        <v>2.5</v>
      </c>
      <c r="AJ253" s="30">
        <v>3800</v>
      </c>
      <c r="AK253" s="30">
        <v>18</v>
      </c>
      <c r="AL253" s="30">
        <v>3500</v>
      </c>
      <c r="AM253" s="30">
        <v>20</v>
      </c>
      <c r="AN253" s="30">
        <v>4350</v>
      </c>
      <c r="AO253" s="30">
        <v>4</v>
      </c>
      <c r="AP253" s="30">
        <v>7500</v>
      </c>
      <c r="AQ253" s="30">
        <v>10</v>
      </c>
      <c r="AR253" s="30">
        <v>8250</v>
      </c>
      <c r="AS253" s="30">
        <v>15</v>
      </c>
      <c r="AT253" s="30">
        <v>9000</v>
      </c>
      <c r="AU253" s="42">
        <v>24</v>
      </c>
      <c r="AV253" s="42">
        <v>10500</v>
      </c>
      <c r="AW253" s="30">
        <v>6</v>
      </c>
      <c r="AX253" s="30">
        <v>15000</v>
      </c>
      <c r="AY253" s="30">
        <v>8</v>
      </c>
      <c r="AZ253" s="30">
        <v>17000</v>
      </c>
      <c r="BA253" s="81"/>
      <c r="BB253" s="81"/>
      <c r="BC253" s="81"/>
      <c r="BD253" s="81"/>
      <c r="BE253" s="81"/>
      <c r="BF253" s="81"/>
      <c r="BG253" s="81"/>
      <c r="BH253" s="81"/>
      <c r="BI253" s="81"/>
      <c r="BJ253" s="81"/>
      <c r="BK253" s="81"/>
      <c r="BL253" s="81"/>
      <c r="BM253" s="81"/>
      <c r="BN253" s="81"/>
    </row>
    <row r="254" spans="17:66" ht="13.5" thickBot="1">
      <c r="Q254" s="44"/>
      <c r="R254" s="45"/>
      <c r="S254" s="45"/>
      <c r="T254" s="45"/>
      <c r="U254" s="33" t="e">
        <f>HLOOKUP($T$250,$W$249:$BN$274,6)</f>
        <v>#N/A</v>
      </c>
      <c r="V254" s="33" t="e">
        <f>HLOOKUP($T$250,$W$249:$BN$274,18)*T2</f>
        <v>#N/A</v>
      </c>
      <c r="W254" s="35">
        <v>3.9</v>
      </c>
      <c r="X254" s="36">
        <v>490</v>
      </c>
      <c r="Y254" s="31">
        <v>6.2</v>
      </c>
      <c r="Z254" s="30">
        <v>550</v>
      </c>
      <c r="AA254" s="30">
        <v>8.5</v>
      </c>
      <c r="AB254" s="30">
        <v>875</v>
      </c>
      <c r="AC254" s="30">
        <v>10</v>
      </c>
      <c r="AD254" s="30">
        <v>700</v>
      </c>
      <c r="AE254" s="30">
        <v>11</v>
      </c>
      <c r="AF254" s="30">
        <v>900</v>
      </c>
      <c r="AG254" s="30">
        <v>13</v>
      </c>
      <c r="AH254" s="30">
        <v>1600</v>
      </c>
      <c r="AI254" s="30">
        <v>15</v>
      </c>
      <c r="AJ254" s="30">
        <v>2900</v>
      </c>
      <c r="AK254" s="30">
        <v>18</v>
      </c>
      <c r="AL254" s="30">
        <v>1600</v>
      </c>
      <c r="AM254" s="30">
        <v>20</v>
      </c>
      <c r="AN254" s="30">
        <v>2125</v>
      </c>
      <c r="AO254" s="30">
        <v>22</v>
      </c>
      <c r="AP254" s="30">
        <v>5200</v>
      </c>
      <c r="AQ254" s="30">
        <v>14.5</v>
      </c>
      <c r="AR254" s="30">
        <v>8000</v>
      </c>
      <c r="AS254" s="30">
        <v>28</v>
      </c>
      <c r="AT254" s="30">
        <v>7250</v>
      </c>
      <c r="AU254" s="42">
        <v>34</v>
      </c>
      <c r="AV254" s="42">
        <v>8800</v>
      </c>
      <c r="AW254" s="30">
        <v>30</v>
      </c>
      <c r="AX254" s="30">
        <v>12200</v>
      </c>
      <c r="AY254" s="30">
        <v>32</v>
      </c>
      <c r="AZ254" s="30">
        <v>13900</v>
      </c>
      <c r="BA254" s="81"/>
      <c r="BB254" s="81"/>
      <c r="BC254" s="81"/>
      <c r="BD254" s="81"/>
      <c r="BE254" s="81"/>
      <c r="BF254" s="81"/>
      <c r="BG254" s="81"/>
      <c r="BH254" s="81"/>
      <c r="BI254" s="81"/>
      <c r="BJ254" s="81"/>
      <c r="BK254" s="81"/>
      <c r="BL254" s="81"/>
      <c r="BM254" s="81"/>
      <c r="BN254" s="81"/>
    </row>
    <row r="255" spans="17:66" ht="13.5" thickBot="1">
      <c r="Q255" s="44"/>
      <c r="R255" s="45"/>
      <c r="S255" s="45"/>
      <c r="T255" s="45"/>
      <c r="U255" s="33" t="e">
        <f>HLOOKUP($T$250,$W$249:$BN$274,7)</f>
        <v>#N/A</v>
      </c>
      <c r="V255" s="33" t="e">
        <f>HLOOKUP($T$250,$W$249:$BN$274,19)*T2</f>
        <v>#N/A</v>
      </c>
      <c r="W255" s="35">
        <v>7.7</v>
      </c>
      <c r="X255" s="36">
        <v>350</v>
      </c>
      <c r="Y255" s="31">
        <v>8.2</v>
      </c>
      <c r="Z255" s="30">
        <v>450</v>
      </c>
      <c r="AA255" s="30">
        <v>8.5</v>
      </c>
      <c r="AB255" s="30">
        <v>640</v>
      </c>
      <c r="AC255" s="30">
        <v>6</v>
      </c>
      <c r="AD255" s="30">
        <v>342</v>
      </c>
      <c r="AE255" s="30">
        <v>5.5</v>
      </c>
      <c r="AF255" s="30">
        <v>414</v>
      </c>
      <c r="AG255" s="30">
        <v>6</v>
      </c>
      <c r="AH255" s="30">
        <v>630</v>
      </c>
      <c r="AI255" s="30">
        <v>15</v>
      </c>
      <c r="AJ255" s="30">
        <v>2100</v>
      </c>
      <c r="AK255" s="30">
        <v>6</v>
      </c>
      <c r="AL255" s="30">
        <v>1200</v>
      </c>
      <c r="AM255" s="30">
        <v>12</v>
      </c>
      <c r="AN255" s="30">
        <v>1500</v>
      </c>
      <c r="AO255" s="30">
        <v>22</v>
      </c>
      <c r="AP255" s="30">
        <v>2750</v>
      </c>
      <c r="AQ255" s="30">
        <v>24</v>
      </c>
      <c r="AR255" s="30">
        <v>6500</v>
      </c>
      <c r="AS255" s="30">
        <v>28</v>
      </c>
      <c r="AT255" s="30">
        <v>4800</v>
      </c>
      <c r="AU255" s="42">
        <v>34</v>
      </c>
      <c r="AV255" s="42">
        <v>5250</v>
      </c>
      <c r="AW255" s="30">
        <v>36</v>
      </c>
      <c r="AX255" s="30">
        <v>11000</v>
      </c>
      <c r="AY255" s="30">
        <v>38</v>
      </c>
      <c r="AZ255" s="30">
        <v>12900</v>
      </c>
      <c r="BA255" s="81"/>
      <c r="BB255" s="81"/>
      <c r="BC255" s="81"/>
      <c r="BD255" s="81"/>
      <c r="BE255" s="81"/>
      <c r="BF255" s="81"/>
      <c r="BG255" s="81"/>
      <c r="BH255" s="81"/>
      <c r="BI255" s="81"/>
      <c r="BJ255" s="81"/>
      <c r="BK255" s="81"/>
      <c r="BL255" s="81"/>
      <c r="BM255" s="81"/>
      <c r="BN255" s="81"/>
    </row>
    <row r="256" spans="17:66" ht="13.5" thickBot="1">
      <c r="Q256" s="44"/>
      <c r="R256" s="45"/>
      <c r="S256" s="45"/>
      <c r="T256" s="45"/>
      <c r="U256" s="33" t="e">
        <f>HLOOKUP($T$250,$W$249:$BN$274,8)</f>
        <v>#N/A</v>
      </c>
      <c r="V256" s="33" t="e">
        <f>HLOOKUP($T$250,$W$249:$BN$274,20)*T2</f>
        <v>#N/A</v>
      </c>
      <c r="W256" s="35">
        <v>7.7</v>
      </c>
      <c r="X256" s="36">
        <v>260</v>
      </c>
      <c r="Y256" s="31">
        <v>8.2</v>
      </c>
      <c r="Z256" s="30">
        <v>350</v>
      </c>
      <c r="AA256" s="30">
        <v>2.7</v>
      </c>
      <c r="AB256" s="30">
        <v>400</v>
      </c>
      <c r="AC256" s="30">
        <v>0</v>
      </c>
      <c r="AD256" s="30">
        <v>342</v>
      </c>
      <c r="AE256" s="30">
        <v>0</v>
      </c>
      <c r="AF256" s="30">
        <v>414</v>
      </c>
      <c r="AG256" s="30">
        <v>0</v>
      </c>
      <c r="AH256" s="30">
        <v>630</v>
      </c>
      <c r="AI256" s="30">
        <v>6.8</v>
      </c>
      <c r="AJ256" s="30">
        <v>875</v>
      </c>
      <c r="AK256" s="30">
        <v>0</v>
      </c>
      <c r="AL256" s="30">
        <v>1200</v>
      </c>
      <c r="AM256" s="30">
        <v>0</v>
      </c>
      <c r="AN256" s="30">
        <v>1500</v>
      </c>
      <c r="AO256" s="30">
        <v>12</v>
      </c>
      <c r="AP256" s="30">
        <v>1500</v>
      </c>
      <c r="AQ256" s="30">
        <v>24</v>
      </c>
      <c r="AR256" s="30">
        <v>6500</v>
      </c>
      <c r="AS256" s="30">
        <v>12</v>
      </c>
      <c r="AT256" s="30">
        <v>2500</v>
      </c>
      <c r="AU256" s="42">
        <v>15</v>
      </c>
      <c r="AV256" s="42">
        <v>2700</v>
      </c>
      <c r="AW256" s="30">
        <v>36</v>
      </c>
      <c r="AX256" s="30">
        <v>7000</v>
      </c>
      <c r="AY256" s="30">
        <v>38</v>
      </c>
      <c r="AZ256" s="30">
        <v>8000</v>
      </c>
      <c r="BA256" s="81"/>
      <c r="BB256" s="81"/>
      <c r="BC256" s="81"/>
      <c r="BD256" s="81"/>
      <c r="BE256" s="81"/>
      <c r="BF256" s="81"/>
      <c r="BG256" s="81"/>
      <c r="BH256" s="81"/>
      <c r="BI256" s="81"/>
      <c r="BJ256" s="81"/>
      <c r="BK256" s="81"/>
      <c r="BL256" s="81"/>
      <c r="BM256" s="81"/>
      <c r="BN256" s="81"/>
    </row>
    <row r="257" spans="17:66" ht="13.5" thickBot="1">
      <c r="Q257" s="44"/>
      <c r="R257" s="45"/>
      <c r="S257" s="45"/>
      <c r="T257" s="45"/>
      <c r="U257" s="33" t="e">
        <f>HLOOKUP($T$250,$W$249:$BN$274,9)</f>
        <v>#N/A</v>
      </c>
      <c r="V257" s="33" t="e">
        <f>HLOOKUP($T$250,$W$249:$BN$274,21)*T2</f>
        <v>#N/A</v>
      </c>
      <c r="W257" s="35">
        <v>4.5</v>
      </c>
      <c r="X257" s="36">
        <v>190</v>
      </c>
      <c r="Y257" s="31">
        <v>4</v>
      </c>
      <c r="Z257" s="30">
        <v>250</v>
      </c>
      <c r="AA257" s="30">
        <v>0</v>
      </c>
      <c r="AB257" s="30">
        <v>400</v>
      </c>
      <c r="AC257" s="30">
        <v>0</v>
      </c>
      <c r="AD257" s="30">
        <v>1770</v>
      </c>
      <c r="AE257" s="30">
        <v>0</v>
      </c>
      <c r="AF257" s="30">
        <v>2150</v>
      </c>
      <c r="AG257" s="30">
        <v>0</v>
      </c>
      <c r="AH257" s="30">
        <v>3000</v>
      </c>
      <c r="AI257" s="30">
        <v>0</v>
      </c>
      <c r="AJ257" s="30">
        <v>875</v>
      </c>
      <c r="AK257" s="30">
        <v>0</v>
      </c>
      <c r="AL257" s="30">
        <v>5000</v>
      </c>
      <c r="AM257" s="30">
        <v>0</v>
      </c>
      <c r="AN257" s="30">
        <v>5800</v>
      </c>
      <c r="AO257" s="30">
        <v>0</v>
      </c>
      <c r="AP257" s="30">
        <v>1500</v>
      </c>
      <c r="AQ257" s="30">
        <v>24</v>
      </c>
      <c r="AR257" s="30">
        <v>3750</v>
      </c>
      <c r="AS257" s="30">
        <v>0</v>
      </c>
      <c r="AT257" s="30">
        <v>2500</v>
      </c>
      <c r="AU257" s="42">
        <v>0</v>
      </c>
      <c r="AV257" s="42">
        <v>2700</v>
      </c>
      <c r="AW257" s="30">
        <v>17</v>
      </c>
      <c r="AX257" s="30">
        <v>3700</v>
      </c>
      <c r="AY257" s="30">
        <v>17</v>
      </c>
      <c r="AZ257" s="30">
        <v>4000</v>
      </c>
      <c r="BA257" s="81"/>
      <c r="BB257" s="81"/>
      <c r="BC257" s="81"/>
      <c r="BD257" s="81"/>
      <c r="BE257" s="81"/>
      <c r="BF257" s="81"/>
      <c r="BG257" s="81"/>
      <c r="BH257" s="81"/>
      <c r="BI257" s="81"/>
      <c r="BJ257" s="81"/>
      <c r="BK257" s="81"/>
      <c r="BL257" s="81"/>
      <c r="BM257" s="81"/>
      <c r="BN257" s="81"/>
    </row>
    <row r="258" spans="15:66" ht="13.5" thickBot="1">
      <c r="O258" s="69"/>
      <c r="P258" s="70"/>
      <c r="Q258" s="44"/>
      <c r="R258" s="45"/>
      <c r="S258" s="45"/>
      <c r="T258" s="45"/>
      <c r="U258" s="33" t="e">
        <f>HLOOKUP($T$250,$W$249:$BN$274,10)</f>
        <v>#N/A</v>
      </c>
      <c r="V258" s="33" t="e">
        <f>HLOOKUP($T$250,$W$249:$BN$274,22)*T2</f>
        <v>#N/A</v>
      </c>
      <c r="W258" s="35">
        <v>0</v>
      </c>
      <c r="X258" s="36">
        <v>190</v>
      </c>
      <c r="Y258" s="31">
        <v>0</v>
      </c>
      <c r="Z258" s="30">
        <v>250</v>
      </c>
      <c r="AA258" s="30">
        <v>0</v>
      </c>
      <c r="AB258" s="30">
        <v>1200</v>
      </c>
      <c r="AC258" s="30">
        <v>0</v>
      </c>
      <c r="AD258" s="30">
        <v>1770</v>
      </c>
      <c r="AE258" s="30">
        <v>0</v>
      </c>
      <c r="AF258" s="30">
        <v>2150</v>
      </c>
      <c r="AG258" s="30">
        <v>0</v>
      </c>
      <c r="AH258" s="30">
        <v>3000</v>
      </c>
      <c r="AI258" s="30">
        <v>0</v>
      </c>
      <c r="AJ258" s="30">
        <v>3900</v>
      </c>
      <c r="AK258" s="30">
        <v>0</v>
      </c>
      <c r="AL258" s="30">
        <v>5000</v>
      </c>
      <c r="AM258" s="30">
        <v>0</v>
      </c>
      <c r="AN258" s="30">
        <v>5800</v>
      </c>
      <c r="AO258" s="30">
        <v>0</v>
      </c>
      <c r="AP258" s="30">
        <v>7250</v>
      </c>
      <c r="AQ258" s="30">
        <v>12</v>
      </c>
      <c r="AR258" s="30">
        <v>2000</v>
      </c>
      <c r="AS258" s="30">
        <v>0</v>
      </c>
      <c r="AT258" s="30">
        <v>10500</v>
      </c>
      <c r="AU258" s="42">
        <v>0</v>
      </c>
      <c r="AV258" s="42">
        <v>13100</v>
      </c>
      <c r="AW258" s="30">
        <v>0</v>
      </c>
      <c r="AX258" s="30">
        <v>3700</v>
      </c>
      <c r="AY258" s="30">
        <v>0</v>
      </c>
      <c r="AZ258" s="30">
        <v>4000</v>
      </c>
      <c r="BA258" s="81"/>
      <c r="BB258" s="81"/>
      <c r="BC258" s="81"/>
      <c r="BD258" s="81"/>
      <c r="BE258" s="81"/>
      <c r="BF258" s="81"/>
      <c r="BG258" s="81"/>
      <c r="BH258" s="81"/>
      <c r="BI258" s="81"/>
      <c r="BJ258" s="81"/>
      <c r="BK258" s="81"/>
      <c r="BL258" s="81"/>
      <c r="BM258" s="81"/>
      <c r="BN258" s="81"/>
    </row>
    <row r="259" spans="15:66" ht="13.5" thickBot="1">
      <c r="O259" s="156" t="s">
        <v>111</v>
      </c>
      <c r="P259" s="157"/>
      <c r="Q259" s="44"/>
      <c r="R259" s="45"/>
      <c r="S259" s="45"/>
      <c r="T259" s="45"/>
      <c r="U259" s="33" t="e">
        <f>HLOOKUP($T$250,$W$249:$BN$274,11)</f>
        <v>#N/A</v>
      </c>
      <c r="V259" s="33" t="e">
        <f>HLOOKUP($T$250,$W$249:$BN$274,23)*T2</f>
        <v>#N/A</v>
      </c>
      <c r="W259" s="35">
        <v>0</v>
      </c>
      <c r="X259" s="36">
        <v>500</v>
      </c>
      <c r="Y259" s="31">
        <v>0</v>
      </c>
      <c r="Z259" s="30">
        <v>700</v>
      </c>
      <c r="AA259" s="30">
        <v>0</v>
      </c>
      <c r="AB259" s="30">
        <v>1200</v>
      </c>
      <c r="AC259" s="30">
        <v>0</v>
      </c>
      <c r="AD259" s="30">
        <v>1770</v>
      </c>
      <c r="AE259" s="30">
        <v>0</v>
      </c>
      <c r="AF259" s="30">
        <v>2150</v>
      </c>
      <c r="AG259" s="30">
        <v>0</v>
      </c>
      <c r="AH259" s="30">
        <v>3000</v>
      </c>
      <c r="AI259" s="30">
        <v>0</v>
      </c>
      <c r="AJ259" s="30">
        <v>3900</v>
      </c>
      <c r="AK259" s="30">
        <v>0</v>
      </c>
      <c r="AL259" s="30">
        <v>5000</v>
      </c>
      <c r="AM259" s="30">
        <v>0</v>
      </c>
      <c r="AN259" s="30">
        <v>5800</v>
      </c>
      <c r="AO259" s="30">
        <v>0</v>
      </c>
      <c r="AP259" s="30">
        <v>7250</v>
      </c>
      <c r="AQ259" s="30">
        <v>0</v>
      </c>
      <c r="AR259" s="30">
        <v>2000</v>
      </c>
      <c r="AS259" s="30">
        <v>0</v>
      </c>
      <c r="AT259" s="30">
        <v>10500</v>
      </c>
      <c r="AU259" s="42">
        <v>0</v>
      </c>
      <c r="AV259" s="42">
        <v>13100</v>
      </c>
      <c r="AW259" s="30">
        <v>0</v>
      </c>
      <c r="AX259" s="30">
        <v>15000</v>
      </c>
      <c r="AY259" s="30">
        <v>0</v>
      </c>
      <c r="AZ259" s="30">
        <v>17000</v>
      </c>
      <c r="BA259" s="81"/>
      <c r="BB259" s="81"/>
      <c r="BC259" s="81"/>
      <c r="BD259" s="81"/>
      <c r="BE259" s="81"/>
      <c r="BF259" s="81"/>
      <c r="BG259" s="81"/>
      <c r="BH259" s="81"/>
      <c r="BI259" s="81"/>
      <c r="BJ259" s="81"/>
      <c r="BK259" s="81"/>
      <c r="BL259" s="81"/>
      <c r="BM259" s="81"/>
      <c r="BN259" s="81"/>
    </row>
    <row r="260" spans="15:66" ht="13.5" thickBot="1">
      <c r="O260" s="69" t="s">
        <v>112</v>
      </c>
      <c r="P260" s="71" t="s">
        <v>113</v>
      </c>
      <c r="Q260" s="44"/>
      <c r="R260" s="45"/>
      <c r="S260" s="45"/>
      <c r="T260" s="45"/>
      <c r="U260" s="33" t="e">
        <f>HLOOKUP($T$250,$W$249:$BN$274,12)</f>
        <v>#N/A</v>
      </c>
      <c r="V260" s="33" t="e">
        <f>HLOOKUP($T$250,$W$249:$BN$274,24)*T2</f>
        <v>#N/A</v>
      </c>
      <c r="W260" s="35">
        <v>0</v>
      </c>
      <c r="X260" s="36">
        <v>500</v>
      </c>
      <c r="Y260" s="31">
        <v>0</v>
      </c>
      <c r="Z260" s="30">
        <v>700</v>
      </c>
      <c r="AA260" s="30">
        <v>0</v>
      </c>
      <c r="AB260" s="30">
        <v>1200</v>
      </c>
      <c r="AC260" s="30">
        <v>0</v>
      </c>
      <c r="AD260" s="30">
        <v>1770</v>
      </c>
      <c r="AE260" s="30">
        <v>0</v>
      </c>
      <c r="AF260" s="30">
        <v>2150</v>
      </c>
      <c r="AG260" s="30">
        <v>0</v>
      </c>
      <c r="AH260" s="30">
        <v>3000</v>
      </c>
      <c r="AI260" s="30">
        <v>0</v>
      </c>
      <c r="AJ260" s="30">
        <v>3900</v>
      </c>
      <c r="AK260" s="30">
        <v>0</v>
      </c>
      <c r="AL260" s="30">
        <v>5000</v>
      </c>
      <c r="AM260" s="30">
        <v>0</v>
      </c>
      <c r="AN260" s="30">
        <v>5800</v>
      </c>
      <c r="AO260" s="30">
        <v>0</v>
      </c>
      <c r="AP260" s="30">
        <v>7250</v>
      </c>
      <c r="AQ260" s="30">
        <v>0</v>
      </c>
      <c r="AR260" s="30">
        <v>8500</v>
      </c>
      <c r="AS260" s="30">
        <v>0</v>
      </c>
      <c r="AT260" s="30">
        <v>10500</v>
      </c>
      <c r="AU260" s="42">
        <v>0</v>
      </c>
      <c r="AV260" s="42">
        <v>13100</v>
      </c>
      <c r="AW260" s="30">
        <v>0</v>
      </c>
      <c r="AX260" s="30">
        <v>15000</v>
      </c>
      <c r="AY260" s="30">
        <v>0</v>
      </c>
      <c r="AZ260" s="30">
        <v>17000</v>
      </c>
      <c r="BA260" s="81"/>
      <c r="BB260" s="81"/>
      <c r="BC260" s="81"/>
      <c r="BD260" s="81"/>
      <c r="BE260" s="81"/>
      <c r="BF260" s="81"/>
      <c r="BG260" s="81"/>
      <c r="BH260" s="81"/>
      <c r="BI260" s="81"/>
      <c r="BJ260" s="81"/>
      <c r="BK260" s="81"/>
      <c r="BL260" s="81"/>
      <c r="BM260" s="81"/>
      <c r="BN260" s="81"/>
    </row>
    <row r="261" spans="15:66" ht="13.5" thickBot="1">
      <c r="O261" s="72" t="e">
        <f>VLOOKUP(T250,Q265:S285,2)</f>
        <v>#N/A</v>
      </c>
      <c r="P261" s="72" t="e">
        <f>VLOOKUP(T250,Q265:S285,3)</f>
        <v>#N/A</v>
      </c>
      <c r="Q261" s="44"/>
      <c r="R261" s="45"/>
      <c r="S261" s="45"/>
      <c r="T261" s="45"/>
      <c r="U261" s="33" t="e">
        <f>HLOOKUP($T$250,$W$249:$BN$274,13)</f>
        <v>#N/A</v>
      </c>
      <c r="V261" s="33" t="e">
        <f>HLOOKUP($T$250,$W$249:$BN$274,25)*T2</f>
        <v>#N/A</v>
      </c>
      <c r="W261" s="35">
        <v>0</v>
      </c>
      <c r="X261" s="36">
        <v>500</v>
      </c>
      <c r="Y261" s="31">
        <v>0</v>
      </c>
      <c r="Z261" s="30">
        <v>700</v>
      </c>
      <c r="AA261" s="30">
        <v>0</v>
      </c>
      <c r="AB261" s="30">
        <v>1200</v>
      </c>
      <c r="AC261" s="30">
        <v>0</v>
      </c>
      <c r="AD261" s="30">
        <v>1770</v>
      </c>
      <c r="AE261" s="30">
        <v>0</v>
      </c>
      <c r="AF261" s="30">
        <v>2150</v>
      </c>
      <c r="AG261" s="30">
        <v>0</v>
      </c>
      <c r="AH261" s="30">
        <v>3000</v>
      </c>
      <c r="AI261" s="30">
        <v>0</v>
      </c>
      <c r="AJ261" s="30">
        <v>3900</v>
      </c>
      <c r="AK261" s="30">
        <v>0</v>
      </c>
      <c r="AL261" s="30">
        <v>5000</v>
      </c>
      <c r="AM261" s="30">
        <v>0</v>
      </c>
      <c r="AN261" s="30">
        <v>5800</v>
      </c>
      <c r="AO261" s="30">
        <v>0</v>
      </c>
      <c r="AP261" s="30">
        <v>7250</v>
      </c>
      <c r="AQ261" s="30">
        <v>0</v>
      </c>
      <c r="AR261" s="30">
        <v>8500</v>
      </c>
      <c r="AS261" s="30">
        <v>0</v>
      </c>
      <c r="AT261" s="30">
        <v>10500</v>
      </c>
      <c r="AU261" s="42">
        <v>0</v>
      </c>
      <c r="AV261" s="42">
        <v>13100</v>
      </c>
      <c r="AW261" s="30">
        <v>0</v>
      </c>
      <c r="AX261" s="30">
        <v>15000</v>
      </c>
      <c r="AY261" s="30">
        <v>0</v>
      </c>
      <c r="AZ261" s="30">
        <v>17000</v>
      </c>
      <c r="BA261" s="81"/>
      <c r="BB261" s="81"/>
      <c r="BC261" s="81"/>
      <c r="BD261" s="81"/>
      <c r="BE261" s="81"/>
      <c r="BF261" s="81"/>
      <c r="BG261" s="81"/>
      <c r="BH261" s="81"/>
      <c r="BI261" s="81"/>
      <c r="BJ261" s="81"/>
      <c r="BK261" s="81"/>
      <c r="BL261" s="81"/>
      <c r="BM261" s="81"/>
      <c r="BN261" s="81"/>
    </row>
    <row r="262" spans="17:66" ht="12.75">
      <c r="Q262" s="44"/>
      <c r="R262" s="45"/>
      <c r="S262" s="45"/>
      <c r="T262" s="45"/>
      <c r="U262" s="33" t="e">
        <f>HLOOKUP($T$250,$W$249:$BN$274,14)</f>
        <v>#N/A</v>
      </c>
      <c r="V262" s="33" t="e">
        <f>HLOOKUP($T$250,$W$249:$BN$274,26)*T2</f>
        <v>#N/A</v>
      </c>
      <c r="W262" s="35">
        <v>0</v>
      </c>
      <c r="X262" s="36">
        <v>500</v>
      </c>
      <c r="Y262" s="31">
        <v>0</v>
      </c>
      <c r="Z262" s="30">
        <v>700</v>
      </c>
      <c r="AA262" s="30">
        <v>0</v>
      </c>
      <c r="AB262" s="30">
        <v>1200</v>
      </c>
      <c r="AC262" s="30">
        <v>0</v>
      </c>
      <c r="AD262" s="30">
        <v>1770</v>
      </c>
      <c r="AE262" s="30">
        <v>0</v>
      </c>
      <c r="AF262" s="30">
        <v>2150</v>
      </c>
      <c r="AG262" s="30">
        <v>0</v>
      </c>
      <c r="AH262" s="30">
        <v>3000</v>
      </c>
      <c r="AI262" s="30">
        <v>0</v>
      </c>
      <c r="AJ262" s="30">
        <v>3900</v>
      </c>
      <c r="AK262" s="30">
        <v>0</v>
      </c>
      <c r="AL262" s="30">
        <v>5000</v>
      </c>
      <c r="AM262" s="30">
        <v>0</v>
      </c>
      <c r="AN262" s="30">
        <v>5800</v>
      </c>
      <c r="AO262" s="30">
        <v>0</v>
      </c>
      <c r="AP262" s="30">
        <v>7250</v>
      </c>
      <c r="AQ262" s="30">
        <v>0</v>
      </c>
      <c r="AR262" s="30">
        <v>8500</v>
      </c>
      <c r="AS262" s="30">
        <v>0</v>
      </c>
      <c r="AT262" s="30">
        <v>10500</v>
      </c>
      <c r="AU262" s="42">
        <v>0</v>
      </c>
      <c r="AV262" s="42">
        <v>13100</v>
      </c>
      <c r="AW262" s="30">
        <v>0</v>
      </c>
      <c r="AX262" s="30">
        <v>15000</v>
      </c>
      <c r="AY262" s="30">
        <v>0</v>
      </c>
      <c r="AZ262" s="30">
        <v>17000</v>
      </c>
      <c r="BA262" s="81"/>
      <c r="BB262" s="81"/>
      <c r="BC262" s="81"/>
      <c r="BD262" s="81"/>
      <c r="BE262" s="81"/>
      <c r="BF262" s="81"/>
      <c r="BG262" s="81"/>
      <c r="BH262" s="81"/>
      <c r="BI262" s="81"/>
      <c r="BJ262" s="81"/>
      <c r="BK262" s="81"/>
      <c r="BL262" s="81"/>
      <c r="BM262" s="81"/>
      <c r="BN262" s="81"/>
    </row>
    <row r="263" spans="17:66" ht="12.75">
      <c r="Q263" s="44"/>
      <c r="R263" s="155" t="s">
        <v>111</v>
      </c>
      <c r="S263" s="155"/>
      <c r="T263" s="45"/>
      <c r="U263" s="45"/>
      <c r="V263" s="45"/>
      <c r="W263" s="10" t="str">
        <f aca="true" t="shared" si="132" ref="W263:W274">X251</f>
        <v>potenza</v>
      </c>
      <c r="X263" s="10"/>
      <c r="Y263" s="10" t="str">
        <f>Z251</f>
        <v>potenza</v>
      </c>
      <c r="Z263" s="10"/>
      <c r="AA263" s="10" t="str">
        <f>AB251</f>
        <v>potenza</v>
      </c>
      <c r="AB263" s="10"/>
      <c r="AC263" s="10" t="str">
        <f>AD251</f>
        <v>potenza</v>
      </c>
      <c r="AD263" s="10"/>
      <c r="AE263" s="17" t="str">
        <f>AF251</f>
        <v>potenza</v>
      </c>
      <c r="AF263" s="17"/>
      <c r="AG263" s="17" t="str">
        <f>AH251</f>
        <v>potenza</v>
      </c>
      <c r="AH263" s="17"/>
      <c r="AI263" s="10" t="str">
        <f>AJ251</f>
        <v>potenza</v>
      </c>
      <c r="AJ263" s="10"/>
      <c r="AK263" s="10" t="str">
        <f>AL251</f>
        <v>potenza</v>
      </c>
      <c r="AL263" s="10"/>
      <c r="AM263" s="10" t="str">
        <f>AN251</f>
        <v>potenza</v>
      </c>
      <c r="AN263" s="10"/>
      <c r="AO263" s="10" t="str">
        <f>AP251</f>
        <v>potenza</v>
      </c>
      <c r="AP263" s="10"/>
      <c r="AQ263" s="10" t="str">
        <f>AR251</f>
        <v>potenza</v>
      </c>
      <c r="AR263" s="10"/>
      <c r="AS263" s="10" t="str">
        <f>AT251</f>
        <v>potenza</v>
      </c>
      <c r="AT263" s="10"/>
      <c r="AU263" s="10" t="str">
        <f>AV251</f>
        <v>potenza</v>
      </c>
      <c r="AV263" s="10"/>
      <c r="AW263" s="10" t="str">
        <f>AX251</f>
        <v>potenza</v>
      </c>
      <c r="AX263" s="10"/>
      <c r="AY263" s="10" t="str">
        <f>AZ251</f>
        <v>potenza</v>
      </c>
      <c r="AZ263" s="10"/>
      <c r="BA263" s="10">
        <f>BB251</f>
        <v>0</v>
      </c>
      <c r="BB263" s="10"/>
      <c r="BC263" s="10">
        <f>BD251</f>
        <v>0</v>
      </c>
      <c r="BD263" s="10"/>
      <c r="BE263" s="10">
        <f>BF251</f>
        <v>0</v>
      </c>
      <c r="BF263" s="10"/>
      <c r="BG263" s="10">
        <f>BH251</f>
        <v>0</v>
      </c>
      <c r="BH263" s="10"/>
      <c r="BI263" s="10">
        <f>BJ251</f>
        <v>0</v>
      </c>
      <c r="BJ263" s="10"/>
      <c r="BK263" s="10">
        <f>BL251</f>
        <v>0</v>
      </c>
      <c r="BL263" s="10"/>
      <c r="BM263" s="10">
        <f>BN251</f>
        <v>0</v>
      </c>
      <c r="BN263" s="7"/>
    </row>
    <row r="264" spans="17:66" ht="12.75">
      <c r="Q264" s="44"/>
      <c r="R264" s="68" t="s">
        <v>112</v>
      </c>
      <c r="S264" s="68" t="s">
        <v>113</v>
      </c>
      <c r="T264" s="45"/>
      <c r="U264" s="45"/>
      <c r="V264" s="45"/>
      <c r="W264" s="10">
        <f t="shared" si="132"/>
        <v>500</v>
      </c>
      <c r="X264" s="10"/>
      <c r="Y264" s="10">
        <f aca="true" t="shared" si="133" ref="Y264:Y274">Z252</f>
        <v>700</v>
      </c>
      <c r="Z264" s="10"/>
      <c r="AA264" s="10">
        <f aca="true" t="shared" si="134" ref="AA264:AA274">AB252</f>
        <v>1200</v>
      </c>
      <c r="AB264" s="10"/>
      <c r="AC264" s="10">
        <f aca="true" t="shared" si="135" ref="AC264:AC274">AD252</f>
        <v>1770</v>
      </c>
      <c r="AD264" s="10"/>
      <c r="AE264" s="10">
        <f aca="true" t="shared" si="136" ref="AE264:AE274">AF252</f>
        <v>2150</v>
      </c>
      <c r="AF264" s="10"/>
      <c r="AG264" s="10">
        <f aca="true" t="shared" si="137" ref="AG264:AG274">AH252</f>
        <v>3000</v>
      </c>
      <c r="AH264" s="10"/>
      <c r="AI264" s="10">
        <f aca="true" t="shared" si="138" ref="AI264:AI274">AJ252</f>
        <v>3900</v>
      </c>
      <c r="AJ264" s="10"/>
      <c r="AK264" s="10">
        <f aca="true" t="shared" si="139" ref="AK264:AK274">AL252</f>
        <v>5000</v>
      </c>
      <c r="AL264" s="10"/>
      <c r="AM264" s="10">
        <f aca="true" t="shared" si="140" ref="AM264:AM274">AN252</f>
        <v>5800</v>
      </c>
      <c r="AN264" s="10"/>
      <c r="AO264" s="10">
        <f aca="true" t="shared" si="141" ref="AO264:AO274">AP252</f>
        <v>7500</v>
      </c>
      <c r="AP264" s="10"/>
      <c r="AQ264" s="10">
        <f aca="true" t="shared" si="142" ref="AQ264:AQ274">AR252</f>
        <v>8500</v>
      </c>
      <c r="AR264" s="10"/>
      <c r="AS264" s="10">
        <f aca="true" t="shared" si="143" ref="AS264:AS274">AT252</f>
        <v>10500</v>
      </c>
      <c r="AT264" s="10"/>
      <c r="AU264" s="10">
        <f aca="true" t="shared" si="144" ref="AU264:AU274">AV252</f>
        <v>13100</v>
      </c>
      <c r="AV264" s="10"/>
      <c r="AW264" s="10">
        <f aca="true" t="shared" si="145" ref="AW264:AW274">AX252</f>
        <v>15000</v>
      </c>
      <c r="AX264" s="10"/>
      <c r="AY264" s="10">
        <f aca="true" t="shared" si="146" ref="AY264:AY274">AZ252</f>
        <v>17000</v>
      </c>
      <c r="AZ264" s="10"/>
      <c r="BA264" s="10">
        <f aca="true" t="shared" si="147" ref="BA264:BA274">BB252</f>
        <v>0</v>
      </c>
      <c r="BB264" s="10"/>
      <c r="BC264" s="10">
        <f aca="true" t="shared" si="148" ref="BC264:BC274">BD252</f>
        <v>0</v>
      </c>
      <c r="BD264" s="10"/>
      <c r="BE264" s="10">
        <f aca="true" t="shared" si="149" ref="BE264:BE274">BF252</f>
        <v>0</v>
      </c>
      <c r="BF264" s="10"/>
      <c r="BG264" s="10">
        <f aca="true" t="shared" si="150" ref="BG264:BG274">BH252</f>
        <v>0</v>
      </c>
      <c r="BH264" s="10"/>
      <c r="BI264" s="10">
        <f aca="true" t="shared" si="151" ref="BI264:BI274">BJ252</f>
        <v>0</v>
      </c>
      <c r="BJ264" s="10"/>
      <c r="BK264" s="10">
        <f aca="true" t="shared" si="152" ref="BK264:BK274">BL252</f>
        <v>0</v>
      </c>
      <c r="BL264" s="10"/>
      <c r="BM264" s="10">
        <f aca="true" t="shared" si="153" ref="BM264:BM274">BN252</f>
        <v>0</v>
      </c>
      <c r="BN264" s="7"/>
    </row>
    <row r="265" spans="17:66" ht="12.75">
      <c r="Q265" s="44">
        <v>1</v>
      </c>
      <c r="R265" s="68">
        <v>180</v>
      </c>
      <c r="S265" s="68" t="s">
        <v>165</v>
      </c>
      <c r="T265" s="30">
        <v>1</v>
      </c>
      <c r="U265" s="30" t="str">
        <f>W250</f>
        <v>Multiflam 50</v>
      </c>
      <c r="V265" s="10"/>
      <c r="W265" s="16">
        <f t="shared" si="132"/>
        <v>500</v>
      </c>
      <c r="X265" s="10"/>
      <c r="Y265" s="10">
        <f t="shared" si="133"/>
        <v>700</v>
      </c>
      <c r="Z265" s="10"/>
      <c r="AA265" s="10">
        <f t="shared" si="134"/>
        <v>1200</v>
      </c>
      <c r="AB265" s="10"/>
      <c r="AC265" s="10">
        <f t="shared" si="135"/>
        <v>1500</v>
      </c>
      <c r="AD265" s="10"/>
      <c r="AE265" s="10">
        <f t="shared" si="136"/>
        <v>1750</v>
      </c>
      <c r="AF265" s="10"/>
      <c r="AG265" s="10">
        <f t="shared" si="137"/>
        <v>2400</v>
      </c>
      <c r="AH265" s="10"/>
      <c r="AI265" s="10">
        <f t="shared" si="138"/>
        <v>3800</v>
      </c>
      <c r="AJ265" s="10"/>
      <c r="AK265" s="10">
        <f t="shared" si="139"/>
        <v>3500</v>
      </c>
      <c r="AL265" s="10"/>
      <c r="AM265" s="10">
        <f t="shared" si="140"/>
        <v>4350</v>
      </c>
      <c r="AN265" s="10"/>
      <c r="AO265" s="10">
        <f t="shared" si="141"/>
        <v>7500</v>
      </c>
      <c r="AP265" s="10"/>
      <c r="AQ265" s="10">
        <f t="shared" si="142"/>
        <v>8250</v>
      </c>
      <c r="AR265" s="10"/>
      <c r="AS265" s="10">
        <f t="shared" si="143"/>
        <v>9000</v>
      </c>
      <c r="AT265" s="10"/>
      <c r="AU265" s="10">
        <f t="shared" si="144"/>
        <v>10500</v>
      </c>
      <c r="AV265" s="10"/>
      <c r="AW265" s="10">
        <f t="shared" si="145"/>
        <v>15000</v>
      </c>
      <c r="AX265" s="10"/>
      <c r="AY265" s="10">
        <f t="shared" si="146"/>
        <v>17000</v>
      </c>
      <c r="AZ265" s="10"/>
      <c r="BA265" s="10">
        <f t="shared" si="147"/>
        <v>0</v>
      </c>
      <c r="BB265" s="10"/>
      <c r="BC265" s="10">
        <f t="shared" si="148"/>
        <v>0</v>
      </c>
      <c r="BD265" s="10"/>
      <c r="BE265" s="10">
        <f t="shared" si="149"/>
        <v>0</v>
      </c>
      <c r="BF265" s="10"/>
      <c r="BG265" s="10">
        <f t="shared" si="150"/>
        <v>0</v>
      </c>
      <c r="BH265" s="10"/>
      <c r="BI265" s="10">
        <f t="shared" si="151"/>
        <v>0</v>
      </c>
      <c r="BJ265" s="10"/>
      <c r="BK265" s="10">
        <f t="shared" si="152"/>
        <v>0</v>
      </c>
      <c r="BL265" s="10"/>
      <c r="BM265" s="10">
        <f t="shared" si="153"/>
        <v>0</v>
      </c>
      <c r="BN265" s="7"/>
    </row>
    <row r="266" spans="17:66" ht="12.75">
      <c r="Q266" s="44">
        <v>2</v>
      </c>
      <c r="R266" s="68">
        <v>180</v>
      </c>
      <c r="S266" s="68" t="s">
        <v>165</v>
      </c>
      <c r="T266" s="30">
        <f>T265+1</f>
        <v>2</v>
      </c>
      <c r="U266" s="30" t="str">
        <f>Y250</f>
        <v>Multiflam 70</v>
      </c>
      <c r="V266" s="10"/>
      <c r="W266" s="16">
        <f t="shared" si="132"/>
        <v>490</v>
      </c>
      <c r="X266" s="10"/>
      <c r="Y266" s="10">
        <f t="shared" si="133"/>
        <v>550</v>
      </c>
      <c r="Z266" s="10"/>
      <c r="AA266" s="10">
        <f t="shared" si="134"/>
        <v>875</v>
      </c>
      <c r="AB266" s="10"/>
      <c r="AC266" s="10">
        <f t="shared" si="135"/>
        <v>700</v>
      </c>
      <c r="AD266" s="10"/>
      <c r="AE266" s="10">
        <f t="shared" si="136"/>
        <v>900</v>
      </c>
      <c r="AF266" s="10"/>
      <c r="AG266" s="10">
        <f t="shared" si="137"/>
        <v>1600</v>
      </c>
      <c r="AH266" s="10"/>
      <c r="AI266" s="10">
        <f t="shared" si="138"/>
        <v>2900</v>
      </c>
      <c r="AJ266" s="10"/>
      <c r="AK266" s="10">
        <f t="shared" si="139"/>
        <v>1600</v>
      </c>
      <c r="AL266" s="10"/>
      <c r="AM266" s="10">
        <f t="shared" si="140"/>
        <v>2125</v>
      </c>
      <c r="AN266" s="10"/>
      <c r="AO266" s="10">
        <f t="shared" si="141"/>
        <v>5200</v>
      </c>
      <c r="AP266" s="10"/>
      <c r="AQ266" s="10">
        <f t="shared" si="142"/>
        <v>8000</v>
      </c>
      <c r="AR266" s="10"/>
      <c r="AS266" s="10">
        <f t="shared" si="143"/>
        <v>7250</v>
      </c>
      <c r="AT266" s="10"/>
      <c r="AU266" s="10">
        <f t="shared" si="144"/>
        <v>8800</v>
      </c>
      <c r="AV266" s="10"/>
      <c r="AW266" s="10">
        <f t="shared" si="145"/>
        <v>12200</v>
      </c>
      <c r="AX266" s="10"/>
      <c r="AY266" s="10">
        <f t="shared" si="146"/>
        <v>13900</v>
      </c>
      <c r="AZ266" s="10"/>
      <c r="BA266" s="10">
        <f t="shared" si="147"/>
        <v>0</v>
      </c>
      <c r="BB266" s="10"/>
      <c r="BC266" s="10">
        <f t="shared" si="148"/>
        <v>0</v>
      </c>
      <c r="BD266" s="10"/>
      <c r="BE266" s="10">
        <f t="shared" si="149"/>
        <v>0</v>
      </c>
      <c r="BF266" s="10"/>
      <c r="BG266" s="10">
        <f t="shared" si="150"/>
        <v>0</v>
      </c>
      <c r="BH266" s="10"/>
      <c r="BI266" s="10">
        <f t="shared" si="151"/>
        <v>0</v>
      </c>
      <c r="BJ266" s="10"/>
      <c r="BK266" s="10">
        <f t="shared" si="152"/>
        <v>0</v>
      </c>
      <c r="BL266" s="10"/>
      <c r="BM266" s="10">
        <f t="shared" si="153"/>
        <v>0</v>
      </c>
      <c r="BN266" s="7"/>
    </row>
    <row r="267" spans="17:66" ht="12.75">
      <c r="Q267" s="44">
        <f>Q266+1</f>
        <v>3</v>
      </c>
      <c r="R267" s="68">
        <v>215</v>
      </c>
      <c r="S267" s="68" t="s">
        <v>165</v>
      </c>
      <c r="T267" s="30">
        <f aca="true" t="shared" si="154" ref="T267:T286">T266+1</f>
        <v>3</v>
      </c>
      <c r="U267" s="30" t="str">
        <f>AA250</f>
        <v>Multiflam 120</v>
      </c>
      <c r="V267" s="10"/>
      <c r="W267" s="16">
        <f t="shared" si="132"/>
        <v>350</v>
      </c>
      <c r="X267" s="10"/>
      <c r="Y267" s="10">
        <f t="shared" si="133"/>
        <v>450</v>
      </c>
      <c r="Z267" s="10"/>
      <c r="AA267" s="10">
        <f t="shared" si="134"/>
        <v>640</v>
      </c>
      <c r="AB267" s="10"/>
      <c r="AC267" s="10">
        <f t="shared" si="135"/>
        <v>342</v>
      </c>
      <c r="AD267" s="10"/>
      <c r="AE267" s="10">
        <f t="shared" si="136"/>
        <v>414</v>
      </c>
      <c r="AF267" s="10"/>
      <c r="AG267" s="10">
        <f t="shared" si="137"/>
        <v>630</v>
      </c>
      <c r="AH267" s="10"/>
      <c r="AI267" s="10">
        <f t="shared" si="138"/>
        <v>2100</v>
      </c>
      <c r="AJ267" s="10"/>
      <c r="AK267" s="10">
        <f t="shared" si="139"/>
        <v>1200</v>
      </c>
      <c r="AL267" s="10"/>
      <c r="AM267" s="10">
        <f t="shared" si="140"/>
        <v>1500</v>
      </c>
      <c r="AN267" s="10"/>
      <c r="AO267" s="10">
        <f t="shared" si="141"/>
        <v>2750</v>
      </c>
      <c r="AP267" s="10"/>
      <c r="AQ267" s="10">
        <f t="shared" si="142"/>
        <v>6500</v>
      </c>
      <c r="AR267" s="10"/>
      <c r="AS267" s="10">
        <f t="shared" si="143"/>
        <v>4800</v>
      </c>
      <c r="AT267" s="10"/>
      <c r="AU267" s="10">
        <f t="shared" si="144"/>
        <v>5250</v>
      </c>
      <c r="AV267" s="10"/>
      <c r="AW267" s="10">
        <f t="shared" si="145"/>
        <v>11000</v>
      </c>
      <c r="AX267" s="10"/>
      <c r="AY267" s="10">
        <f t="shared" si="146"/>
        <v>12900</v>
      </c>
      <c r="AZ267" s="10"/>
      <c r="BA267" s="10">
        <f t="shared" si="147"/>
        <v>0</v>
      </c>
      <c r="BB267" s="10"/>
      <c r="BC267" s="10">
        <f t="shared" si="148"/>
        <v>0</v>
      </c>
      <c r="BD267" s="10"/>
      <c r="BE267" s="10">
        <f t="shared" si="149"/>
        <v>0</v>
      </c>
      <c r="BF267" s="10"/>
      <c r="BG267" s="10">
        <f t="shared" si="150"/>
        <v>0</v>
      </c>
      <c r="BH267" s="10"/>
      <c r="BI267" s="10">
        <f t="shared" si="151"/>
        <v>0</v>
      </c>
      <c r="BJ267" s="10"/>
      <c r="BK267" s="10">
        <f t="shared" si="152"/>
        <v>0</v>
      </c>
      <c r="BL267" s="10"/>
      <c r="BM267" s="10">
        <f t="shared" si="153"/>
        <v>0</v>
      </c>
      <c r="BN267" s="7"/>
    </row>
    <row r="268" spans="17:66" ht="12.75">
      <c r="Q268" s="44">
        <f aca="true" t="shared" si="155" ref="Q268:Q285">Q267+1</f>
        <v>4</v>
      </c>
      <c r="R268" s="68">
        <v>250</v>
      </c>
      <c r="S268" s="68" t="s">
        <v>168</v>
      </c>
      <c r="T268" s="30">
        <f t="shared" si="154"/>
        <v>4</v>
      </c>
      <c r="U268" s="30" t="str">
        <f>AC250</f>
        <v>Multiflam 170.1</v>
      </c>
      <c r="V268" s="10"/>
      <c r="W268" s="16">
        <f t="shared" si="132"/>
        <v>260</v>
      </c>
      <c r="X268" s="10"/>
      <c r="Y268" s="10">
        <f t="shared" si="133"/>
        <v>350</v>
      </c>
      <c r="Z268" s="10"/>
      <c r="AA268" s="10">
        <f t="shared" si="134"/>
        <v>400</v>
      </c>
      <c r="AB268" s="10"/>
      <c r="AC268" s="10">
        <f t="shared" si="135"/>
        <v>342</v>
      </c>
      <c r="AD268" s="10"/>
      <c r="AE268" s="10">
        <f t="shared" si="136"/>
        <v>414</v>
      </c>
      <c r="AF268" s="10"/>
      <c r="AG268" s="10">
        <f t="shared" si="137"/>
        <v>630</v>
      </c>
      <c r="AH268" s="10"/>
      <c r="AI268" s="10">
        <f t="shared" si="138"/>
        <v>875</v>
      </c>
      <c r="AJ268" s="10"/>
      <c r="AK268" s="10">
        <f t="shared" si="139"/>
        <v>1200</v>
      </c>
      <c r="AL268" s="10"/>
      <c r="AM268" s="10">
        <f t="shared" si="140"/>
        <v>1500</v>
      </c>
      <c r="AN268" s="10"/>
      <c r="AO268" s="10">
        <f t="shared" si="141"/>
        <v>1500</v>
      </c>
      <c r="AP268" s="10"/>
      <c r="AQ268" s="10">
        <f t="shared" si="142"/>
        <v>6500</v>
      </c>
      <c r="AR268" s="10"/>
      <c r="AS268" s="10">
        <f t="shared" si="143"/>
        <v>2500</v>
      </c>
      <c r="AT268" s="10"/>
      <c r="AU268" s="10">
        <f t="shared" si="144"/>
        <v>2700</v>
      </c>
      <c r="AV268" s="10"/>
      <c r="AW268" s="10">
        <f t="shared" si="145"/>
        <v>7000</v>
      </c>
      <c r="AX268" s="10"/>
      <c r="AY268" s="10">
        <f t="shared" si="146"/>
        <v>8000</v>
      </c>
      <c r="AZ268" s="10"/>
      <c r="BA268" s="10">
        <f t="shared" si="147"/>
        <v>0</v>
      </c>
      <c r="BB268" s="10"/>
      <c r="BC268" s="10">
        <f t="shared" si="148"/>
        <v>0</v>
      </c>
      <c r="BD268" s="10"/>
      <c r="BE268" s="10">
        <f t="shared" si="149"/>
        <v>0</v>
      </c>
      <c r="BF268" s="10"/>
      <c r="BG268" s="10">
        <f t="shared" si="150"/>
        <v>0</v>
      </c>
      <c r="BH268" s="10"/>
      <c r="BI268" s="10">
        <f t="shared" si="151"/>
        <v>0</v>
      </c>
      <c r="BJ268" s="10"/>
      <c r="BK268" s="10">
        <f t="shared" si="152"/>
        <v>0</v>
      </c>
      <c r="BL268" s="10"/>
      <c r="BM268" s="10">
        <f t="shared" si="153"/>
        <v>0</v>
      </c>
      <c r="BN268" s="7"/>
    </row>
    <row r="269" spans="17:66" ht="12.75">
      <c r="Q269" s="44">
        <f t="shared" si="155"/>
        <v>5</v>
      </c>
      <c r="R269" s="68">
        <v>270</v>
      </c>
      <c r="S269" s="68" t="s">
        <v>135</v>
      </c>
      <c r="T269" s="30">
        <f t="shared" si="154"/>
        <v>5</v>
      </c>
      <c r="U269" s="30" t="str">
        <f>AE250</f>
        <v>Multiflam 200.1</v>
      </c>
      <c r="V269" s="10"/>
      <c r="W269" s="16">
        <f t="shared" si="132"/>
        <v>190</v>
      </c>
      <c r="X269" s="10"/>
      <c r="Y269" s="10">
        <f t="shared" si="133"/>
        <v>250</v>
      </c>
      <c r="Z269" s="10"/>
      <c r="AA269" s="10">
        <f t="shared" si="134"/>
        <v>400</v>
      </c>
      <c r="AB269" s="10"/>
      <c r="AC269" s="10">
        <f t="shared" si="135"/>
        <v>1770</v>
      </c>
      <c r="AD269" s="10"/>
      <c r="AE269" s="10">
        <f t="shared" si="136"/>
        <v>2150</v>
      </c>
      <c r="AF269" s="10"/>
      <c r="AG269" s="10">
        <f t="shared" si="137"/>
        <v>3000</v>
      </c>
      <c r="AH269" s="10"/>
      <c r="AI269" s="10">
        <f t="shared" si="138"/>
        <v>875</v>
      </c>
      <c r="AJ269" s="10"/>
      <c r="AK269" s="10">
        <f t="shared" si="139"/>
        <v>5000</v>
      </c>
      <c r="AL269" s="10"/>
      <c r="AM269" s="10">
        <f t="shared" si="140"/>
        <v>5800</v>
      </c>
      <c r="AN269" s="10"/>
      <c r="AO269" s="10">
        <f t="shared" si="141"/>
        <v>1500</v>
      </c>
      <c r="AP269" s="10"/>
      <c r="AQ269" s="10">
        <f t="shared" si="142"/>
        <v>3750</v>
      </c>
      <c r="AR269" s="10"/>
      <c r="AS269" s="10">
        <f t="shared" si="143"/>
        <v>2500</v>
      </c>
      <c r="AT269" s="10"/>
      <c r="AU269" s="10">
        <f t="shared" si="144"/>
        <v>2700</v>
      </c>
      <c r="AV269" s="10"/>
      <c r="AW269" s="10">
        <f t="shared" si="145"/>
        <v>3700</v>
      </c>
      <c r="AX269" s="10"/>
      <c r="AY269" s="10">
        <f t="shared" si="146"/>
        <v>4000</v>
      </c>
      <c r="AZ269" s="10"/>
      <c r="BA269" s="10">
        <f t="shared" si="147"/>
        <v>0</v>
      </c>
      <c r="BB269" s="10"/>
      <c r="BC269" s="10">
        <f t="shared" si="148"/>
        <v>0</v>
      </c>
      <c r="BD269" s="10"/>
      <c r="BE269" s="10">
        <f t="shared" si="149"/>
        <v>0</v>
      </c>
      <c r="BF269" s="10"/>
      <c r="BG269" s="10">
        <f t="shared" si="150"/>
        <v>0</v>
      </c>
      <c r="BH269" s="10"/>
      <c r="BI269" s="10">
        <f t="shared" si="151"/>
        <v>0</v>
      </c>
      <c r="BJ269" s="10"/>
      <c r="BK269" s="10">
        <f t="shared" si="152"/>
        <v>0</v>
      </c>
      <c r="BL269" s="10"/>
      <c r="BM269" s="10">
        <f t="shared" si="153"/>
        <v>0</v>
      </c>
      <c r="BN269" s="7"/>
    </row>
    <row r="270" spans="17:66" ht="12.75">
      <c r="Q270" s="44">
        <f t="shared" si="155"/>
        <v>6</v>
      </c>
      <c r="R270" s="68">
        <v>290</v>
      </c>
      <c r="S270" s="68" t="s">
        <v>169</v>
      </c>
      <c r="T270" s="30">
        <f t="shared" si="154"/>
        <v>6</v>
      </c>
      <c r="U270" s="30" t="str">
        <f>AG250</f>
        <v>Multiflam 300.1</v>
      </c>
      <c r="V270" s="10"/>
      <c r="W270" s="16">
        <f t="shared" si="132"/>
        <v>190</v>
      </c>
      <c r="X270" s="10"/>
      <c r="Y270" s="10">
        <f t="shared" si="133"/>
        <v>250</v>
      </c>
      <c r="Z270" s="10"/>
      <c r="AA270" s="10">
        <f t="shared" si="134"/>
        <v>1200</v>
      </c>
      <c r="AB270" s="10"/>
      <c r="AC270" s="10">
        <f t="shared" si="135"/>
        <v>1770</v>
      </c>
      <c r="AD270" s="10"/>
      <c r="AE270" s="10">
        <f t="shared" si="136"/>
        <v>2150</v>
      </c>
      <c r="AF270" s="10"/>
      <c r="AG270" s="10">
        <f t="shared" si="137"/>
        <v>3000</v>
      </c>
      <c r="AH270" s="10"/>
      <c r="AI270" s="10">
        <f t="shared" si="138"/>
        <v>3900</v>
      </c>
      <c r="AJ270" s="10"/>
      <c r="AK270" s="10">
        <f t="shared" si="139"/>
        <v>5000</v>
      </c>
      <c r="AL270" s="10"/>
      <c r="AM270" s="10">
        <f t="shared" si="140"/>
        <v>5800</v>
      </c>
      <c r="AN270" s="10"/>
      <c r="AO270" s="10">
        <f t="shared" si="141"/>
        <v>7250</v>
      </c>
      <c r="AP270" s="10"/>
      <c r="AQ270" s="10">
        <f t="shared" si="142"/>
        <v>2000</v>
      </c>
      <c r="AR270" s="10"/>
      <c r="AS270" s="10">
        <f t="shared" si="143"/>
        <v>10500</v>
      </c>
      <c r="AT270" s="10"/>
      <c r="AU270" s="10">
        <f t="shared" si="144"/>
        <v>13100</v>
      </c>
      <c r="AV270" s="10"/>
      <c r="AW270" s="10">
        <f t="shared" si="145"/>
        <v>3700</v>
      </c>
      <c r="AX270" s="10"/>
      <c r="AY270" s="10">
        <f t="shared" si="146"/>
        <v>4000</v>
      </c>
      <c r="AZ270" s="10"/>
      <c r="BA270" s="10">
        <f t="shared" si="147"/>
        <v>0</v>
      </c>
      <c r="BB270" s="10"/>
      <c r="BC270" s="10">
        <f t="shared" si="148"/>
        <v>0</v>
      </c>
      <c r="BD270" s="10"/>
      <c r="BE270" s="10">
        <f t="shared" si="149"/>
        <v>0</v>
      </c>
      <c r="BF270" s="10"/>
      <c r="BG270" s="10">
        <f t="shared" si="150"/>
        <v>0</v>
      </c>
      <c r="BH270" s="10"/>
      <c r="BI270" s="10">
        <f t="shared" si="151"/>
        <v>0</v>
      </c>
      <c r="BJ270" s="10"/>
      <c r="BK270" s="10">
        <f t="shared" si="152"/>
        <v>0</v>
      </c>
      <c r="BL270" s="10"/>
      <c r="BM270" s="10">
        <f t="shared" si="153"/>
        <v>0</v>
      </c>
      <c r="BN270" s="7"/>
    </row>
    <row r="271" spans="17:66" ht="12.75">
      <c r="Q271" s="44">
        <f t="shared" si="155"/>
        <v>7</v>
      </c>
      <c r="R271" s="68">
        <v>320</v>
      </c>
      <c r="S271" s="68" t="s">
        <v>170</v>
      </c>
      <c r="T271" s="30">
        <f t="shared" si="154"/>
        <v>7</v>
      </c>
      <c r="U271" s="30" t="str">
        <f>AI250</f>
        <v>Multiflam 400.1</v>
      </c>
      <c r="V271" s="10"/>
      <c r="W271" s="16">
        <f t="shared" si="132"/>
        <v>500</v>
      </c>
      <c r="X271" s="10"/>
      <c r="Y271" s="10">
        <f t="shared" si="133"/>
        <v>700</v>
      </c>
      <c r="Z271" s="10"/>
      <c r="AA271" s="10">
        <f t="shared" si="134"/>
        <v>1200</v>
      </c>
      <c r="AB271" s="10"/>
      <c r="AC271" s="10">
        <f t="shared" si="135"/>
        <v>1770</v>
      </c>
      <c r="AD271" s="10"/>
      <c r="AE271" s="10">
        <f t="shared" si="136"/>
        <v>2150</v>
      </c>
      <c r="AF271" s="10"/>
      <c r="AG271" s="10">
        <f t="shared" si="137"/>
        <v>3000</v>
      </c>
      <c r="AH271" s="10"/>
      <c r="AI271" s="10">
        <f t="shared" si="138"/>
        <v>3900</v>
      </c>
      <c r="AJ271" s="10"/>
      <c r="AK271" s="10">
        <f t="shared" si="139"/>
        <v>5000</v>
      </c>
      <c r="AL271" s="10"/>
      <c r="AM271" s="10">
        <f t="shared" si="140"/>
        <v>5800</v>
      </c>
      <c r="AN271" s="10"/>
      <c r="AO271" s="10">
        <f t="shared" si="141"/>
        <v>7250</v>
      </c>
      <c r="AP271" s="10"/>
      <c r="AQ271" s="10">
        <f t="shared" si="142"/>
        <v>2000</v>
      </c>
      <c r="AR271" s="10"/>
      <c r="AS271" s="10">
        <f t="shared" si="143"/>
        <v>10500</v>
      </c>
      <c r="AT271" s="10"/>
      <c r="AU271" s="10">
        <f t="shared" si="144"/>
        <v>13100</v>
      </c>
      <c r="AV271" s="10"/>
      <c r="AW271" s="10">
        <f t="shared" si="145"/>
        <v>15000</v>
      </c>
      <c r="AX271" s="10"/>
      <c r="AY271" s="10">
        <f t="shared" si="146"/>
        <v>17000</v>
      </c>
      <c r="AZ271" s="10"/>
      <c r="BA271" s="10">
        <f t="shared" si="147"/>
        <v>0</v>
      </c>
      <c r="BB271" s="10"/>
      <c r="BC271" s="10">
        <f t="shared" si="148"/>
        <v>0</v>
      </c>
      <c r="BD271" s="10"/>
      <c r="BE271" s="10">
        <f t="shared" si="149"/>
        <v>0</v>
      </c>
      <c r="BF271" s="10"/>
      <c r="BG271" s="10">
        <f t="shared" si="150"/>
        <v>0</v>
      </c>
      <c r="BH271" s="10"/>
      <c r="BI271" s="10">
        <f t="shared" si="151"/>
        <v>0</v>
      </c>
      <c r="BJ271" s="10"/>
      <c r="BK271" s="10">
        <f t="shared" si="152"/>
        <v>0</v>
      </c>
      <c r="BL271" s="10"/>
      <c r="BM271" s="10">
        <f t="shared" si="153"/>
        <v>0</v>
      </c>
      <c r="BN271" s="7"/>
    </row>
    <row r="272" spans="17:66" ht="12.75">
      <c r="Q272" s="44">
        <f t="shared" si="155"/>
        <v>8</v>
      </c>
      <c r="R272" s="68">
        <v>320</v>
      </c>
      <c r="S272" s="68" t="s">
        <v>171</v>
      </c>
      <c r="T272" s="30">
        <f t="shared" si="154"/>
        <v>8</v>
      </c>
      <c r="U272" s="30" t="str">
        <f>AK250</f>
        <v>Multiflam 500.1</v>
      </c>
      <c r="V272" s="10"/>
      <c r="W272" s="16">
        <f t="shared" si="132"/>
        <v>500</v>
      </c>
      <c r="X272" s="10"/>
      <c r="Y272" s="10">
        <f t="shared" si="133"/>
        <v>700</v>
      </c>
      <c r="Z272" s="10"/>
      <c r="AA272" s="10">
        <f t="shared" si="134"/>
        <v>1200</v>
      </c>
      <c r="AB272" s="10"/>
      <c r="AC272" s="10">
        <f t="shared" si="135"/>
        <v>1770</v>
      </c>
      <c r="AD272" s="10"/>
      <c r="AE272" s="10">
        <f t="shared" si="136"/>
        <v>2150</v>
      </c>
      <c r="AF272" s="10"/>
      <c r="AG272" s="10">
        <f t="shared" si="137"/>
        <v>3000</v>
      </c>
      <c r="AH272" s="10"/>
      <c r="AI272" s="10">
        <f t="shared" si="138"/>
        <v>3900</v>
      </c>
      <c r="AJ272" s="10"/>
      <c r="AK272" s="10">
        <f t="shared" si="139"/>
        <v>5000</v>
      </c>
      <c r="AL272" s="10"/>
      <c r="AM272" s="10">
        <f t="shared" si="140"/>
        <v>5800</v>
      </c>
      <c r="AN272" s="10"/>
      <c r="AO272" s="10">
        <f t="shared" si="141"/>
        <v>7250</v>
      </c>
      <c r="AP272" s="10"/>
      <c r="AQ272" s="10">
        <f t="shared" si="142"/>
        <v>8500</v>
      </c>
      <c r="AR272" s="10"/>
      <c r="AS272" s="10">
        <f t="shared" si="143"/>
        <v>10500</v>
      </c>
      <c r="AT272" s="10"/>
      <c r="AU272" s="10">
        <f t="shared" si="144"/>
        <v>13100</v>
      </c>
      <c r="AV272" s="10"/>
      <c r="AW272" s="10">
        <f t="shared" si="145"/>
        <v>15000</v>
      </c>
      <c r="AX272" s="10"/>
      <c r="AY272" s="10">
        <f t="shared" si="146"/>
        <v>17000</v>
      </c>
      <c r="AZ272" s="10"/>
      <c r="BA272" s="10">
        <f t="shared" si="147"/>
        <v>0</v>
      </c>
      <c r="BB272" s="10"/>
      <c r="BC272" s="10">
        <f t="shared" si="148"/>
        <v>0</v>
      </c>
      <c r="BD272" s="10"/>
      <c r="BE272" s="10">
        <f t="shared" si="149"/>
        <v>0</v>
      </c>
      <c r="BF272" s="10"/>
      <c r="BG272" s="10">
        <f t="shared" si="150"/>
        <v>0</v>
      </c>
      <c r="BH272" s="10"/>
      <c r="BI272" s="10">
        <f t="shared" si="151"/>
        <v>0</v>
      </c>
      <c r="BJ272" s="10"/>
      <c r="BK272" s="10">
        <f t="shared" si="152"/>
        <v>0</v>
      </c>
      <c r="BL272" s="10"/>
      <c r="BM272" s="10">
        <f t="shared" si="153"/>
        <v>0</v>
      </c>
      <c r="BN272" s="7"/>
    </row>
    <row r="273" spans="17:66" ht="12.75">
      <c r="Q273" s="44">
        <f t="shared" si="155"/>
        <v>9</v>
      </c>
      <c r="R273" s="68">
        <v>320</v>
      </c>
      <c r="S273" s="68" t="s">
        <v>171</v>
      </c>
      <c r="T273" s="30">
        <f t="shared" si="154"/>
        <v>9</v>
      </c>
      <c r="U273" s="30" t="str">
        <f>AM250</f>
        <v>Multiflam 600.1</v>
      </c>
      <c r="V273" s="10"/>
      <c r="W273" s="16">
        <f t="shared" si="132"/>
        <v>500</v>
      </c>
      <c r="X273" s="10"/>
      <c r="Y273" s="10">
        <f t="shared" si="133"/>
        <v>700</v>
      </c>
      <c r="Z273" s="10"/>
      <c r="AA273" s="10">
        <f t="shared" si="134"/>
        <v>1200</v>
      </c>
      <c r="AB273" s="10"/>
      <c r="AC273" s="10">
        <f t="shared" si="135"/>
        <v>1770</v>
      </c>
      <c r="AD273" s="10"/>
      <c r="AE273" s="10">
        <f t="shared" si="136"/>
        <v>2150</v>
      </c>
      <c r="AF273" s="10"/>
      <c r="AG273" s="10">
        <f t="shared" si="137"/>
        <v>3000</v>
      </c>
      <c r="AH273" s="10"/>
      <c r="AI273" s="10">
        <f t="shared" si="138"/>
        <v>3900</v>
      </c>
      <c r="AJ273" s="10"/>
      <c r="AK273" s="10">
        <f t="shared" si="139"/>
        <v>5000</v>
      </c>
      <c r="AL273" s="10"/>
      <c r="AM273" s="10">
        <f t="shared" si="140"/>
        <v>5800</v>
      </c>
      <c r="AN273" s="10"/>
      <c r="AO273" s="10">
        <f t="shared" si="141"/>
        <v>7250</v>
      </c>
      <c r="AP273" s="10"/>
      <c r="AQ273" s="10">
        <f t="shared" si="142"/>
        <v>8500</v>
      </c>
      <c r="AR273" s="10"/>
      <c r="AS273" s="10">
        <f t="shared" si="143"/>
        <v>10500</v>
      </c>
      <c r="AT273" s="10"/>
      <c r="AU273" s="10">
        <f t="shared" si="144"/>
        <v>13100</v>
      </c>
      <c r="AV273" s="10"/>
      <c r="AW273" s="10">
        <f t="shared" si="145"/>
        <v>15000</v>
      </c>
      <c r="AX273" s="10"/>
      <c r="AY273" s="10">
        <f t="shared" si="146"/>
        <v>17000</v>
      </c>
      <c r="AZ273" s="10"/>
      <c r="BA273" s="10">
        <f t="shared" si="147"/>
        <v>0</v>
      </c>
      <c r="BB273" s="10"/>
      <c r="BC273" s="10">
        <f t="shared" si="148"/>
        <v>0</v>
      </c>
      <c r="BD273" s="10"/>
      <c r="BE273" s="10">
        <f t="shared" si="149"/>
        <v>0</v>
      </c>
      <c r="BF273" s="10"/>
      <c r="BG273" s="10">
        <f t="shared" si="150"/>
        <v>0</v>
      </c>
      <c r="BH273" s="10"/>
      <c r="BI273" s="10">
        <f t="shared" si="151"/>
        <v>0</v>
      </c>
      <c r="BJ273" s="10"/>
      <c r="BK273" s="10">
        <f t="shared" si="152"/>
        <v>0</v>
      </c>
      <c r="BL273" s="10"/>
      <c r="BM273" s="10">
        <f t="shared" si="153"/>
        <v>0</v>
      </c>
      <c r="BN273" s="7"/>
    </row>
    <row r="274" spans="17:66" ht="12.75">
      <c r="Q274" s="44">
        <f t="shared" si="155"/>
        <v>10</v>
      </c>
      <c r="R274" s="68">
        <v>420</v>
      </c>
      <c r="S274" s="68">
        <v>470</v>
      </c>
      <c r="T274" s="30">
        <f t="shared" si="154"/>
        <v>10</v>
      </c>
      <c r="U274" s="30" t="str">
        <f>AO250</f>
        <v>Multiflam 700.1</v>
      </c>
      <c r="V274" s="10"/>
      <c r="W274" s="16">
        <f t="shared" si="132"/>
        <v>500</v>
      </c>
      <c r="X274" s="10"/>
      <c r="Y274" s="10">
        <f t="shared" si="133"/>
        <v>700</v>
      </c>
      <c r="Z274" s="10"/>
      <c r="AA274" s="10">
        <f t="shared" si="134"/>
        <v>1200</v>
      </c>
      <c r="AB274" s="10"/>
      <c r="AC274" s="10">
        <f t="shared" si="135"/>
        <v>1770</v>
      </c>
      <c r="AD274" s="10"/>
      <c r="AE274" s="10">
        <f t="shared" si="136"/>
        <v>2150</v>
      </c>
      <c r="AF274" s="10"/>
      <c r="AG274" s="10">
        <f t="shared" si="137"/>
        <v>3000</v>
      </c>
      <c r="AH274" s="10"/>
      <c r="AI274" s="10">
        <f t="shared" si="138"/>
        <v>3900</v>
      </c>
      <c r="AJ274" s="10"/>
      <c r="AK274" s="10">
        <f t="shared" si="139"/>
        <v>5000</v>
      </c>
      <c r="AL274" s="10"/>
      <c r="AM274" s="10">
        <f t="shared" si="140"/>
        <v>5800</v>
      </c>
      <c r="AN274" s="10"/>
      <c r="AO274" s="10">
        <f t="shared" si="141"/>
        <v>7250</v>
      </c>
      <c r="AP274" s="10"/>
      <c r="AQ274" s="10">
        <f t="shared" si="142"/>
        <v>8500</v>
      </c>
      <c r="AR274" s="10"/>
      <c r="AS274" s="10">
        <f t="shared" si="143"/>
        <v>10500</v>
      </c>
      <c r="AT274" s="10"/>
      <c r="AU274" s="10">
        <f t="shared" si="144"/>
        <v>13100</v>
      </c>
      <c r="AV274" s="10"/>
      <c r="AW274" s="10">
        <f t="shared" si="145"/>
        <v>15000</v>
      </c>
      <c r="AX274" s="10"/>
      <c r="AY274" s="10">
        <f t="shared" si="146"/>
        <v>17000</v>
      </c>
      <c r="AZ274" s="10"/>
      <c r="BA274" s="10">
        <f t="shared" si="147"/>
        <v>0</v>
      </c>
      <c r="BB274" s="10"/>
      <c r="BC274" s="10">
        <f t="shared" si="148"/>
        <v>0</v>
      </c>
      <c r="BD274" s="10"/>
      <c r="BE274" s="10">
        <f t="shared" si="149"/>
        <v>0</v>
      </c>
      <c r="BF274" s="10"/>
      <c r="BG274" s="10">
        <f t="shared" si="150"/>
        <v>0</v>
      </c>
      <c r="BH274" s="10"/>
      <c r="BI274" s="10">
        <f t="shared" si="151"/>
        <v>0</v>
      </c>
      <c r="BJ274" s="10"/>
      <c r="BK274" s="10">
        <f t="shared" si="152"/>
        <v>0</v>
      </c>
      <c r="BL274" s="10"/>
      <c r="BM274" s="10">
        <f t="shared" si="153"/>
        <v>0</v>
      </c>
      <c r="BN274" s="7"/>
    </row>
    <row r="275" spans="17:66" ht="12.75">
      <c r="Q275" s="44">
        <f t="shared" si="155"/>
        <v>11</v>
      </c>
      <c r="R275" s="68">
        <v>420</v>
      </c>
      <c r="S275" s="68">
        <v>470</v>
      </c>
      <c r="T275" s="30">
        <f t="shared" si="154"/>
        <v>11</v>
      </c>
      <c r="U275" s="30" t="str">
        <f>AQ250</f>
        <v>Multiflam 800.1</v>
      </c>
      <c r="V275" s="10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</row>
    <row r="276" spans="17:66" ht="12.75">
      <c r="Q276" s="44">
        <f t="shared" si="155"/>
        <v>12</v>
      </c>
      <c r="R276" s="68">
        <v>420</v>
      </c>
      <c r="S276" s="68">
        <v>470</v>
      </c>
      <c r="T276" s="30">
        <f t="shared" si="154"/>
        <v>12</v>
      </c>
      <c r="U276" s="30" t="str">
        <f>AS250</f>
        <v>Multiflam 1000.1</v>
      </c>
      <c r="V276" s="10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</row>
    <row r="277" spans="17:66" ht="12.75">
      <c r="Q277" s="44">
        <f t="shared" si="155"/>
        <v>13</v>
      </c>
      <c r="R277" s="68">
        <v>450</v>
      </c>
      <c r="S277" s="68">
        <v>470</v>
      </c>
      <c r="T277" s="30">
        <f t="shared" si="154"/>
        <v>13</v>
      </c>
      <c r="U277" s="30" t="str">
        <f>AU250</f>
        <v>Multiflam 1200.1</v>
      </c>
      <c r="V277" s="10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</row>
    <row r="278" spans="17:66" ht="12.75">
      <c r="Q278" s="44">
        <f t="shared" si="155"/>
        <v>14</v>
      </c>
      <c r="R278" s="68">
        <v>550</v>
      </c>
      <c r="S278" s="68">
        <v>590</v>
      </c>
      <c r="T278" s="30">
        <f t="shared" si="154"/>
        <v>14</v>
      </c>
      <c r="U278" s="30" t="str">
        <f>AW250</f>
        <v>Multiflam 1500.1</v>
      </c>
      <c r="V278" s="10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</row>
    <row r="279" spans="17:66" ht="12.75">
      <c r="Q279" s="44">
        <f t="shared" si="155"/>
        <v>15</v>
      </c>
      <c r="R279" s="68">
        <v>550</v>
      </c>
      <c r="S279" s="68">
        <v>590</v>
      </c>
      <c r="T279" s="30">
        <f t="shared" si="154"/>
        <v>15</v>
      </c>
      <c r="U279" s="30" t="str">
        <f>AY250</f>
        <v>Multiflam 1800.1</v>
      </c>
      <c r="V279" s="10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</row>
    <row r="280" spans="17:66" ht="12.75">
      <c r="Q280" s="44">
        <f t="shared" si="155"/>
        <v>16</v>
      </c>
      <c r="R280" s="68"/>
      <c r="S280" s="68"/>
      <c r="T280" s="10">
        <f t="shared" si="154"/>
        <v>16</v>
      </c>
      <c r="U280" s="10">
        <f>BA250</f>
        <v>0</v>
      </c>
      <c r="V280" s="10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</row>
    <row r="281" spans="17:66" ht="12.75">
      <c r="Q281" s="44">
        <f t="shared" si="155"/>
        <v>17</v>
      </c>
      <c r="R281" s="68"/>
      <c r="S281" s="68"/>
      <c r="T281" s="10">
        <f t="shared" si="154"/>
        <v>17</v>
      </c>
      <c r="U281" s="10">
        <f>BC250</f>
        <v>0</v>
      </c>
      <c r="V281" s="10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</row>
    <row r="282" spans="17:66" ht="12.75">
      <c r="Q282" s="44">
        <f t="shared" si="155"/>
        <v>18</v>
      </c>
      <c r="R282" s="68"/>
      <c r="S282" s="68"/>
      <c r="T282" s="10">
        <f t="shared" si="154"/>
        <v>18</v>
      </c>
      <c r="U282" s="10">
        <f>BE250</f>
        <v>0</v>
      </c>
      <c r="V282" s="10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</row>
    <row r="283" spans="17:66" ht="12.75">
      <c r="Q283" s="44">
        <f t="shared" si="155"/>
        <v>19</v>
      </c>
      <c r="R283" s="68"/>
      <c r="S283" s="68"/>
      <c r="T283" s="10">
        <f t="shared" si="154"/>
        <v>19</v>
      </c>
      <c r="U283" s="10">
        <f>BG250</f>
        <v>0</v>
      </c>
      <c r="V283" s="10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</row>
    <row r="284" spans="17:66" ht="12.75">
      <c r="Q284" s="44">
        <f t="shared" si="155"/>
        <v>20</v>
      </c>
      <c r="R284" s="68"/>
      <c r="S284" s="68"/>
      <c r="T284" s="10">
        <f t="shared" si="154"/>
        <v>20</v>
      </c>
      <c r="U284" s="10">
        <f>BI250</f>
        <v>0</v>
      </c>
      <c r="V284" s="10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</row>
    <row r="285" spans="17:66" ht="12.75">
      <c r="Q285" s="44">
        <f t="shared" si="155"/>
        <v>21</v>
      </c>
      <c r="R285" s="68"/>
      <c r="S285" s="68"/>
      <c r="T285" s="10">
        <f t="shared" si="154"/>
        <v>21</v>
      </c>
      <c r="U285" s="10">
        <f>BK250</f>
        <v>0</v>
      </c>
      <c r="V285" s="10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</row>
    <row r="286" spans="19:64" ht="12.75">
      <c r="S286" s="7"/>
      <c r="T286" s="10">
        <f t="shared" si="154"/>
        <v>22</v>
      </c>
      <c r="U286" s="10">
        <f>BM250</f>
        <v>0</v>
      </c>
      <c r="V286" s="10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</row>
    <row r="287" spans="19:64" ht="12.75">
      <c r="S287" s="7"/>
      <c r="T287" s="10"/>
      <c r="U287" s="10"/>
      <c r="V287" s="10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</row>
    <row r="288" spans="19:64" ht="12.75"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</row>
    <row r="289" spans="19:64" ht="12.75"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</row>
    <row r="290" spans="19:64" ht="12.75"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</row>
    <row r="291" spans="19:64" ht="12.75"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</row>
    <row r="292" spans="19:64" ht="12.75"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</row>
    <row r="293" spans="19:64" ht="12.75"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</row>
    <row r="294" spans="19:64" ht="12.75"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</row>
    <row r="295" spans="19:64" ht="12.75"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</row>
    <row r="296" spans="19:64" ht="12.75"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</row>
    <row r="297" spans="19:64" ht="12.75"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</row>
    <row r="298" spans="19:64" ht="12.75"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</row>
    <row r="299" spans="19:64" ht="12.75"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</row>
    <row r="300" spans="19:64" ht="12.75"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</row>
    <row r="301" spans="19:64" ht="12.75"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</row>
    <row r="302" spans="19:64" ht="12.75"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</row>
    <row r="303" spans="19:64" ht="12.75"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</row>
    <row r="304" spans="19:64" ht="12.75"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</row>
    <row r="305" spans="19:64" ht="12.75"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</row>
    <row r="306" spans="18:66" ht="13.5" thickBot="1"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</row>
    <row r="307" spans="18:66" ht="13.5" thickBot="1">
      <c r="R307" s="7"/>
      <c r="S307" s="7"/>
      <c r="T307" s="7"/>
      <c r="U307" s="7"/>
      <c r="V307" s="7"/>
      <c r="W307" s="220" t="s">
        <v>26</v>
      </c>
      <c r="X307" s="221"/>
      <c r="Y307" s="222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</row>
    <row r="308" spans="18:66" ht="13.5" thickBot="1">
      <c r="R308" s="8" t="b">
        <v>0</v>
      </c>
      <c r="S308" s="7"/>
      <c r="T308" s="7"/>
      <c r="U308" s="7"/>
      <c r="V308" s="7"/>
      <c r="W308" s="7">
        <v>1</v>
      </c>
      <c r="X308" s="7"/>
      <c r="Y308" s="7">
        <v>2</v>
      </c>
      <c r="Z308" s="8"/>
      <c r="AA308" s="7">
        <v>3</v>
      </c>
      <c r="AB308" s="7"/>
      <c r="AC308" s="7">
        <v>4</v>
      </c>
      <c r="AD308" s="7"/>
      <c r="AE308" s="7">
        <v>5</v>
      </c>
      <c r="AF308" s="7"/>
      <c r="AG308" s="7">
        <v>6</v>
      </c>
      <c r="AH308" s="8"/>
      <c r="AI308" s="7">
        <v>7</v>
      </c>
      <c r="AJ308" s="7"/>
      <c r="AK308" s="7">
        <v>8</v>
      </c>
      <c r="AL308" s="7"/>
      <c r="AM308" s="7">
        <v>9</v>
      </c>
      <c r="AN308" s="18"/>
      <c r="AO308" s="7">
        <v>10</v>
      </c>
      <c r="AP308" s="8"/>
      <c r="AQ308" s="7">
        <v>11</v>
      </c>
      <c r="AR308" s="18"/>
      <c r="AS308" s="18">
        <v>12</v>
      </c>
      <c r="AT308" s="18"/>
      <c r="AU308" s="18">
        <v>13</v>
      </c>
      <c r="AV308" s="18"/>
      <c r="AW308" s="7">
        <v>14</v>
      </c>
      <c r="AX308" s="7"/>
      <c r="AY308" s="7">
        <v>15</v>
      </c>
      <c r="AZ308" s="7"/>
      <c r="BA308" s="7">
        <v>16</v>
      </c>
      <c r="BB308" s="7"/>
      <c r="BC308" s="7">
        <v>17</v>
      </c>
      <c r="BD308" s="7"/>
      <c r="BE308" s="7">
        <v>18</v>
      </c>
      <c r="BF308" s="7"/>
      <c r="BG308" s="7">
        <v>18</v>
      </c>
      <c r="BH308" s="7"/>
      <c r="BI308" s="7">
        <v>20</v>
      </c>
      <c r="BJ308" s="7"/>
      <c r="BK308" s="7">
        <v>21</v>
      </c>
      <c r="BL308" s="7"/>
      <c r="BM308" s="7">
        <v>22</v>
      </c>
      <c r="BN308" s="7"/>
    </row>
    <row r="309" spans="18:66" ht="13.5" thickBot="1">
      <c r="R309" s="7"/>
      <c r="S309" s="7"/>
      <c r="T309" s="8">
        <f>IF(R308=FALSE,U305,T310)</f>
        <v>0</v>
      </c>
      <c r="U309" s="201" t="e">
        <f>HLOOKUP(T309,W308:BN333,2)</f>
        <v>#N/A</v>
      </c>
      <c r="V309" s="201"/>
      <c r="W309" s="226" t="s">
        <v>68</v>
      </c>
      <c r="X309" s="225"/>
      <c r="Y309" s="177" t="s">
        <v>69</v>
      </c>
      <c r="Z309" s="227"/>
      <c r="AA309" s="177" t="s">
        <v>27</v>
      </c>
      <c r="AB309" s="177"/>
      <c r="AC309" s="177" t="s">
        <v>28</v>
      </c>
      <c r="AD309" s="177"/>
      <c r="AE309" s="177" t="s">
        <v>29</v>
      </c>
      <c r="AF309" s="226"/>
      <c r="AG309" s="223" t="s">
        <v>30</v>
      </c>
      <c r="AH309" s="224"/>
      <c r="AI309" s="225" t="s">
        <v>31</v>
      </c>
      <c r="AJ309" s="177"/>
      <c r="AK309" s="225" t="s">
        <v>32</v>
      </c>
      <c r="AL309" s="177"/>
      <c r="AM309" s="225" t="s">
        <v>33</v>
      </c>
      <c r="AN309" s="177"/>
      <c r="AO309" s="177" t="s">
        <v>70</v>
      </c>
      <c r="AP309" s="227"/>
      <c r="AQ309" s="177" t="s">
        <v>71</v>
      </c>
      <c r="AR309" s="177"/>
      <c r="AS309" s="177" t="s">
        <v>34</v>
      </c>
      <c r="AT309" s="177"/>
      <c r="AU309" s="177" t="s">
        <v>35</v>
      </c>
      <c r="AV309" s="177"/>
      <c r="AW309" s="177" t="s">
        <v>36</v>
      </c>
      <c r="AX309" s="177"/>
      <c r="AY309" s="177" t="s">
        <v>37</v>
      </c>
      <c r="AZ309" s="177"/>
      <c r="BA309" s="177" t="s">
        <v>38</v>
      </c>
      <c r="BB309" s="177"/>
      <c r="BC309" s="177" t="s">
        <v>39</v>
      </c>
      <c r="BD309" s="177"/>
      <c r="BE309" s="177"/>
      <c r="BF309" s="177"/>
      <c r="BG309" s="177"/>
      <c r="BH309" s="177"/>
      <c r="BI309" s="177"/>
      <c r="BJ309" s="177"/>
      <c r="BK309" s="177"/>
      <c r="BL309" s="177"/>
      <c r="BM309" s="177"/>
      <c r="BN309" s="177"/>
    </row>
    <row r="310" spans="18:66" ht="13.5" thickBot="1">
      <c r="R310" s="7"/>
      <c r="S310" s="7"/>
      <c r="T310" s="7">
        <v>4</v>
      </c>
      <c r="U310" s="9" t="s">
        <v>5</v>
      </c>
      <c r="V310" s="9" t="s">
        <v>6</v>
      </c>
      <c r="W310" s="10" t="s">
        <v>5</v>
      </c>
      <c r="X310" s="10" t="s">
        <v>3</v>
      </c>
      <c r="Y310" s="10" t="s">
        <v>5</v>
      </c>
      <c r="Z310" s="10" t="s">
        <v>3</v>
      </c>
      <c r="AA310" s="10" t="s">
        <v>5</v>
      </c>
      <c r="AB310" s="10" t="s">
        <v>3</v>
      </c>
      <c r="AC310" s="10" t="s">
        <v>5</v>
      </c>
      <c r="AD310" s="10" t="s">
        <v>3</v>
      </c>
      <c r="AE310" s="12" t="s">
        <v>5</v>
      </c>
      <c r="AF310" s="13" t="s">
        <v>3</v>
      </c>
      <c r="AG310" s="14" t="s">
        <v>5</v>
      </c>
      <c r="AH310" s="15" t="s">
        <v>3</v>
      </c>
      <c r="AI310" s="16" t="s">
        <v>5</v>
      </c>
      <c r="AJ310" s="10" t="s">
        <v>3</v>
      </c>
      <c r="AK310" s="10" t="s">
        <v>5</v>
      </c>
      <c r="AL310" s="10" t="s">
        <v>3</v>
      </c>
      <c r="AM310" s="10" t="s">
        <v>5</v>
      </c>
      <c r="AN310" s="10" t="s">
        <v>3</v>
      </c>
      <c r="AO310" s="10" t="s">
        <v>5</v>
      </c>
      <c r="AP310" s="10" t="s">
        <v>3</v>
      </c>
      <c r="AQ310" s="10" t="s">
        <v>5</v>
      </c>
      <c r="AR310" s="10" t="s">
        <v>3</v>
      </c>
      <c r="AS310" s="10" t="s">
        <v>5</v>
      </c>
      <c r="AT310" s="10" t="s">
        <v>3</v>
      </c>
      <c r="AU310" s="10" t="s">
        <v>5</v>
      </c>
      <c r="AV310" s="10" t="s">
        <v>3</v>
      </c>
      <c r="AW310" s="10" t="s">
        <v>5</v>
      </c>
      <c r="AX310" s="10" t="s">
        <v>3</v>
      </c>
      <c r="AY310" s="10" t="s">
        <v>5</v>
      </c>
      <c r="AZ310" s="10" t="s">
        <v>3</v>
      </c>
      <c r="BA310" s="10" t="s">
        <v>5</v>
      </c>
      <c r="BB310" s="10" t="s">
        <v>3</v>
      </c>
      <c r="BC310" s="10" t="s">
        <v>5</v>
      </c>
      <c r="BD310" s="10" t="s">
        <v>3</v>
      </c>
      <c r="BE310" s="10" t="s">
        <v>5</v>
      </c>
      <c r="BF310" s="10" t="s">
        <v>3</v>
      </c>
      <c r="BG310" s="10" t="s">
        <v>5</v>
      </c>
      <c r="BH310" s="10" t="s">
        <v>3</v>
      </c>
      <c r="BI310" s="10" t="s">
        <v>5</v>
      </c>
      <c r="BJ310" s="10" t="s">
        <v>3</v>
      </c>
      <c r="BK310" s="10" t="s">
        <v>5</v>
      </c>
      <c r="BL310" s="10" t="s">
        <v>3</v>
      </c>
      <c r="BM310" s="10" t="s">
        <v>5</v>
      </c>
      <c r="BN310" s="10" t="s">
        <v>3</v>
      </c>
    </row>
    <row r="311" spans="18:66" ht="13.5" thickBot="1">
      <c r="R311" s="7"/>
      <c r="S311" s="7"/>
      <c r="T311" s="7"/>
      <c r="U311" s="11" t="e">
        <f>HLOOKUP($T$192,$W$191:$BN$217,4)</f>
        <v>#N/A</v>
      </c>
      <c r="V311" s="11" t="e">
        <f>HLOOKUP($T$192,$W$191:$BN$217,16)</f>
        <v>#N/A</v>
      </c>
      <c r="W311" s="10"/>
      <c r="X311" s="10"/>
      <c r="Y311" s="30">
        <v>0</v>
      </c>
      <c r="Z311" s="30">
        <v>237</v>
      </c>
      <c r="AA311" s="30">
        <v>0</v>
      </c>
      <c r="AB311" s="30">
        <v>337</v>
      </c>
      <c r="AC311" s="30">
        <v>0</v>
      </c>
      <c r="AD311" s="30">
        <v>580</v>
      </c>
      <c r="AE311" s="30">
        <v>0</v>
      </c>
      <c r="AF311" s="32">
        <v>930</v>
      </c>
      <c r="AG311" s="33">
        <v>0</v>
      </c>
      <c r="AH311" s="34">
        <v>1395</v>
      </c>
      <c r="AI311" s="35">
        <v>0</v>
      </c>
      <c r="AJ311" s="36">
        <v>1650</v>
      </c>
      <c r="AK311" s="31">
        <v>0</v>
      </c>
      <c r="AL311" s="30">
        <v>2034</v>
      </c>
      <c r="AM311" s="30">
        <v>0</v>
      </c>
      <c r="AN311" s="30">
        <v>3000</v>
      </c>
      <c r="AO311" s="30">
        <v>0</v>
      </c>
      <c r="AP311" s="30">
        <v>3940</v>
      </c>
      <c r="AQ311" s="30">
        <v>0</v>
      </c>
      <c r="AR311" s="30">
        <v>5000</v>
      </c>
      <c r="AS311" s="30">
        <v>0</v>
      </c>
      <c r="AT311" s="30">
        <v>5750</v>
      </c>
      <c r="AU311" s="30">
        <v>0</v>
      </c>
      <c r="AV311" s="30">
        <v>7250</v>
      </c>
      <c r="AW311" s="30">
        <v>0</v>
      </c>
      <c r="AX311" s="30">
        <v>8500</v>
      </c>
      <c r="AY311" s="30">
        <v>0</v>
      </c>
      <c r="AZ311" s="30">
        <v>10500</v>
      </c>
      <c r="BA311" s="30">
        <v>0</v>
      </c>
      <c r="BB311" s="30">
        <v>13100</v>
      </c>
      <c r="BC311" s="30">
        <v>0</v>
      </c>
      <c r="BD311" s="30">
        <v>16800</v>
      </c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</row>
    <row r="312" spans="18:66" ht="13.5" thickBot="1">
      <c r="R312" s="7"/>
      <c r="S312" s="7"/>
      <c r="T312" s="7"/>
      <c r="U312" s="11" t="e">
        <f>HLOOKUP($T$192,$W$191:$BN$217,5)</f>
        <v>#N/A</v>
      </c>
      <c r="V312" s="11" t="e">
        <f>HLOOKUP($T$192,$W$191:$BN$217,17)</f>
        <v>#N/A</v>
      </c>
      <c r="W312" s="10"/>
      <c r="X312" s="10"/>
      <c r="Y312" s="30">
        <v>8</v>
      </c>
      <c r="Z312" s="30">
        <v>130</v>
      </c>
      <c r="AA312" s="30">
        <v>8</v>
      </c>
      <c r="AB312" s="30">
        <v>205</v>
      </c>
      <c r="AC312" s="30">
        <v>7.5</v>
      </c>
      <c r="AD312" s="30">
        <v>348</v>
      </c>
      <c r="AE312" s="30">
        <v>8</v>
      </c>
      <c r="AF312" s="32">
        <v>534</v>
      </c>
      <c r="AG312" s="35">
        <v>12</v>
      </c>
      <c r="AH312" s="32">
        <v>930</v>
      </c>
      <c r="AI312" s="35">
        <v>2</v>
      </c>
      <c r="AJ312" s="36">
        <v>1650</v>
      </c>
      <c r="AK312" s="31">
        <v>2</v>
      </c>
      <c r="AL312" s="30">
        <v>2034</v>
      </c>
      <c r="AM312" s="30">
        <v>13</v>
      </c>
      <c r="AN312" s="30">
        <v>2437</v>
      </c>
      <c r="AO312" s="30">
        <v>2.5</v>
      </c>
      <c r="AP312" s="30">
        <v>3870</v>
      </c>
      <c r="AQ312" s="30">
        <v>18</v>
      </c>
      <c r="AR312" s="30">
        <v>3500</v>
      </c>
      <c r="AS312" s="30">
        <v>20</v>
      </c>
      <c r="AT312" s="30">
        <v>4375</v>
      </c>
      <c r="AU312" s="30">
        <v>4</v>
      </c>
      <c r="AV312" s="30">
        <v>7250</v>
      </c>
      <c r="AW312" s="30">
        <v>10</v>
      </c>
      <c r="AX312" s="30">
        <v>8500</v>
      </c>
      <c r="AY312" s="30">
        <v>18</v>
      </c>
      <c r="AZ312" s="30">
        <v>9000</v>
      </c>
      <c r="BA312" s="30">
        <v>24</v>
      </c>
      <c r="BB312" s="30">
        <v>10500</v>
      </c>
      <c r="BC312" s="30">
        <v>30</v>
      </c>
      <c r="BD312" s="30">
        <v>14000</v>
      </c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</row>
    <row r="313" spans="18:66" ht="13.5" thickBot="1">
      <c r="R313" s="7"/>
      <c r="S313" s="7"/>
      <c r="T313" s="7"/>
      <c r="U313" s="11" t="e">
        <f>HLOOKUP($T$192,$W$191:$BN$217,6)</f>
        <v>#N/A</v>
      </c>
      <c r="V313" s="11" t="e">
        <f>HLOOKUP($T$192,$W$191:$BN$217,18)</f>
        <v>#N/A</v>
      </c>
      <c r="W313" s="10"/>
      <c r="X313" s="10"/>
      <c r="Y313" s="30">
        <v>8</v>
      </c>
      <c r="Z313" s="30">
        <v>95</v>
      </c>
      <c r="AA313" s="30">
        <v>8</v>
      </c>
      <c r="AB313" s="30">
        <v>170</v>
      </c>
      <c r="AC313" s="30">
        <v>7.5</v>
      </c>
      <c r="AD313" s="30">
        <v>290</v>
      </c>
      <c r="AE313" s="30">
        <v>8</v>
      </c>
      <c r="AF313" s="32">
        <v>465</v>
      </c>
      <c r="AG313" s="35">
        <v>12</v>
      </c>
      <c r="AH313" s="32">
        <v>800</v>
      </c>
      <c r="AI313" s="35">
        <v>6</v>
      </c>
      <c r="AJ313" s="36">
        <v>1570</v>
      </c>
      <c r="AK313" s="31">
        <v>14</v>
      </c>
      <c r="AL313" s="30">
        <v>1616</v>
      </c>
      <c r="AM313" s="30">
        <v>13</v>
      </c>
      <c r="AN313" s="30">
        <v>1562</v>
      </c>
      <c r="AO313" s="30">
        <v>14</v>
      </c>
      <c r="AP313" s="30">
        <v>3062</v>
      </c>
      <c r="AQ313" s="30">
        <v>18</v>
      </c>
      <c r="AR313" s="30">
        <v>1625</v>
      </c>
      <c r="AS313" s="30">
        <v>20</v>
      </c>
      <c r="AT313" s="30">
        <v>2125</v>
      </c>
      <c r="AU313" s="30">
        <v>22</v>
      </c>
      <c r="AV313" s="30">
        <v>5000</v>
      </c>
      <c r="AW313" s="30">
        <v>14.5</v>
      </c>
      <c r="AX313" s="30">
        <v>7900</v>
      </c>
      <c r="AY313" s="30">
        <v>28</v>
      </c>
      <c r="AZ313" s="30">
        <v>7300</v>
      </c>
      <c r="BA313" s="30">
        <v>34</v>
      </c>
      <c r="BB313" s="30">
        <v>9000</v>
      </c>
      <c r="BC313" s="30">
        <v>36</v>
      </c>
      <c r="BD313" s="30">
        <v>12700</v>
      </c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</row>
    <row r="314" spans="18:66" ht="13.5" thickBot="1">
      <c r="R314" s="7"/>
      <c r="S314" s="7"/>
      <c r="T314" s="7"/>
      <c r="U314" s="11" t="e">
        <f>HLOOKUP($T$192,$W$191:$BN$217,7)</f>
        <v>#N/A</v>
      </c>
      <c r="V314" s="11" t="e">
        <f>HLOOKUP($T$192,$W$191:$BN$217,19)</f>
        <v>#N/A</v>
      </c>
      <c r="W314" s="10"/>
      <c r="X314" s="10"/>
      <c r="Y314" s="30">
        <v>0</v>
      </c>
      <c r="Z314" s="30">
        <v>95</v>
      </c>
      <c r="AA314" s="30">
        <v>0</v>
      </c>
      <c r="AB314" s="30">
        <v>170</v>
      </c>
      <c r="AC314" s="30">
        <v>0</v>
      </c>
      <c r="AD314" s="30">
        <v>290</v>
      </c>
      <c r="AE314" s="30">
        <v>0</v>
      </c>
      <c r="AF314" s="32">
        <v>465</v>
      </c>
      <c r="AG314" s="35">
        <v>0</v>
      </c>
      <c r="AH314" s="32">
        <v>674</v>
      </c>
      <c r="AI314" s="35">
        <v>12</v>
      </c>
      <c r="AJ314" s="36">
        <v>1348</v>
      </c>
      <c r="AK314" s="31">
        <v>14</v>
      </c>
      <c r="AL314" s="30">
        <v>1023</v>
      </c>
      <c r="AM314" s="30">
        <v>8.5</v>
      </c>
      <c r="AN314" s="30">
        <v>1000</v>
      </c>
      <c r="AO314" s="30">
        <v>14</v>
      </c>
      <c r="AP314" s="30">
        <v>2190</v>
      </c>
      <c r="AQ314" s="30">
        <v>16</v>
      </c>
      <c r="AR314" s="30">
        <v>1560</v>
      </c>
      <c r="AS314" s="30">
        <v>16</v>
      </c>
      <c r="AT314" s="30">
        <v>1800</v>
      </c>
      <c r="AU314" s="30">
        <v>22</v>
      </c>
      <c r="AV314" s="30">
        <v>2800</v>
      </c>
      <c r="AW314" s="30">
        <v>24</v>
      </c>
      <c r="AX314" s="30">
        <v>6500</v>
      </c>
      <c r="AY314" s="30">
        <v>28</v>
      </c>
      <c r="AZ314" s="30">
        <v>4900</v>
      </c>
      <c r="BA314" s="30">
        <v>34</v>
      </c>
      <c r="BB314" s="30">
        <v>5300</v>
      </c>
      <c r="BC314" s="30">
        <v>36</v>
      </c>
      <c r="BD314" s="30">
        <v>7000</v>
      </c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</row>
    <row r="315" spans="18:66" ht="13.5" thickBot="1">
      <c r="R315" s="7"/>
      <c r="S315" s="7"/>
      <c r="T315" s="7"/>
      <c r="U315" s="11" t="e">
        <f>HLOOKUP($T$192,$W$191:$BN$217,8)</f>
        <v>#N/A</v>
      </c>
      <c r="V315" s="11" t="e">
        <f>HLOOKUP($T$192,$W$191:$BN$217,20)</f>
        <v>#N/A</v>
      </c>
      <c r="W315" s="10"/>
      <c r="X315" s="10"/>
      <c r="Y315" s="30">
        <v>0</v>
      </c>
      <c r="Z315" s="30">
        <v>237</v>
      </c>
      <c r="AA315" s="30">
        <v>0</v>
      </c>
      <c r="AB315" s="30">
        <v>337</v>
      </c>
      <c r="AC315" s="30">
        <v>0</v>
      </c>
      <c r="AD315" s="30">
        <v>580</v>
      </c>
      <c r="AE315" s="30">
        <v>0</v>
      </c>
      <c r="AF315" s="32">
        <v>930</v>
      </c>
      <c r="AG315" s="35">
        <v>0</v>
      </c>
      <c r="AH315" s="32">
        <v>1395</v>
      </c>
      <c r="AI315" s="35">
        <v>12</v>
      </c>
      <c r="AJ315" s="36">
        <v>813</v>
      </c>
      <c r="AK315" s="31">
        <v>0</v>
      </c>
      <c r="AL315" s="30">
        <v>697</v>
      </c>
      <c r="AM315" s="30">
        <v>0</v>
      </c>
      <c r="AN315" s="30">
        <v>1000</v>
      </c>
      <c r="AO315" s="30">
        <v>12.5</v>
      </c>
      <c r="AP315" s="30">
        <v>1800</v>
      </c>
      <c r="AQ315" s="30">
        <v>0</v>
      </c>
      <c r="AR315" s="30">
        <v>1560</v>
      </c>
      <c r="AS315" s="30">
        <v>0</v>
      </c>
      <c r="AT315" s="30">
        <v>1800</v>
      </c>
      <c r="AU315" s="30">
        <v>16</v>
      </c>
      <c r="AV315" s="30">
        <v>2417</v>
      </c>
      <c r="AW315" s="30">
        <v>24</v>
      </c>
      <c r="AX315" s="30">
        <v>3800</v>
      </c>
      <c r="AY315" s="30">
        <v>17.5</v>
      </c>
      <c r="AZ315" s="30">
        <v>3300</v>
      </c>
      <c r="BA315" s="30">
        <v>27</v>
      </c>
      <c r="BB315" s="30">
        <v>4367</v>
      </c>
      <c r="BC315" s="30">
        <v>30</v>
      </c>
      <c r="BD315" s="30">
        <v>5600</v>
      </c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</row>
    <row r="316" spans="18:66" ht="13.5" thickBot="1">
      <c r="R316" s="7"/>
      <c r="S316" s="7"/>
      <c r="T316" s="7"/>
      <c r="U316" s="11" t="e">
        <f>HLOOKUP($T$192,$W$191:$BN$217,9)</f>
        <v>#N/A</v>
      </c>
      <c r="V316" s="11" t="e">
        <f>HLOOKUP($T$192,$W$191:$BN$217,21)</f>
        <v>#N/A</v>
      </c>
      <c r="W316" s="10"/>
      <c r="X316" s="10"/>
      <c r="Y316" s="30">
        <v>0</v>
      </c>
      <c r="Z316" s="30">
        <v>237</v>
      </c>
      <c r="AA316" s="30">
        <v>0</v>
      </c>
      <c r="AB316" s="30">
        <v>337</v>
      </c>
      <c r="AC316" s="30">
        <v>0</v>
      </c>
      <c r="AD316" s="30">
        <v>580</v>
      </c>
      <c r="AE316" s="30">
        <v>0</v>
      </c>
      <c r="AF316" s="32">
        <v>930</v>
      </c>
      <c r="AG316" s="35">
        <v>0</v>
      </c>
      <c r="AH316" s="32">
        <v>1395</v>
      </c>
      <c r="AI316" s="35">
        <v>0</v>
      </c>
      <c r="AJ316" s="36">
        <v>697</v>
      </c>
      <c r="AK316" s="31">
        <v>0</v>
      </c>
      <c r="AL316" s="30">
        <v>2034</v>
      </c>
      <c r="AM316" s="30">
        <v>0</v>
      </c>
      <c r="AN316" s="30">
        <v>3000</v>
      </c>
      <c r="AO316" s="30">
        <v>0</v>
      </c>
      <c r="AP316" s="30">
        <v>1800</v>
      </c>
      <c r="AQ316" s="30">
        <v>0</v>
      </c>
      <c r="AR316" s="30">
        <v>5000</v>
      </c>
      <c r="AS316" s="30">
        <v>0</v>
      </c>
      <c r="AT316" s="30">
        <v>5750</v>
      </c>
      <c r="AU316" s="30">
        <v>0</v>
      </c>
      <c r="AV316" s="30">
        <v>2417</v>
      </c>
      <c r="AW316" s="30">
        <v>17</v>
      </c>
      <c r="AX316" s="30">
        <v>2750</v>
      </c>
      <c r="AY316" s="30">
        <v>0</v>
      </c>
      <c r="AZ316" s="30">
        <v>3300</v>
      </c>
      <c r="BA316" s="30">
        <v>0</v>
      </c>
      <c r="BB316" s="30">
        <v>4367</v>
      </c>
      <c r="BC316" s="30">
        <v>0</v>
      </c>
      <c r="BD316" s="30">
        <v>5600</v>
      </c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</row>
    <row r="317" spans="18:66" ht="13.5" thickBot="1">
      <c r="R317" s="7"/>
      <c r="S317" s="7"/>
      <c r="T317" s="7"/>
      <c r="U317" s="11" t="e">
        <f>HLOOKUP($T$192,$W$191:$BN$217,10)</f>
        <v>#N/A</v>
      </c>
      <c r="V317" s="11" t="e">
        <f>HLOOKUP($T$192,$W$191:$BN$217,22)</f>
        <v>#N/A</v>
      </c>
      <c r="W317" s="10"/>
      <c r="X317" s="10"/>
      <c r="Y317" s="30">
        <v>0</v>
      </c>
      <c r="Z317" s="30">
        <v>237</v>
      </c>
      <c r="AA317" s="30">
        <v>0</v>
      </c>
      <c r="AB317" s="30">
        <v>337</v>
      </c>
      <c r="AC317" s="30">
        <v>0</v>
      </c>
      <c r="AD317" s="30">
        <v>580</v>
      </c>
      <c r="AE317" s="30">
        <v>0</v>
      </c>
      <c r="AF317" s="32">
        <v>930</v>
      </c>
      <c r="AG317" s="35">
        <v>0</v>
      </c>
      <c r="AH317" s="32">
        <v>1395</v>
      </c>
      <c r="AI317" s="35">
        <v>0</v>
      </c>
      <c r="AJ317" s="36">
        <v>1650</v>
      </c>
      <c r="AK317" s="31">
        <v>0</v>
      </c>
      <c r="AL317" s="30">
        <v>2034</v>
      </c>
      <c r="AM317" s="30">
        <v>0</v>
      </c>
      <c r="AN317" s="30">
        <v>3000</v>
      </c>
      <c r="AO317" s="30">
        <v>0</v>
      </c>
      <c r="AP317" s="30">
        <v>3940</v>
      </c>
      <c r="AQ317" s="30">
        <v>0</v>
      </c>
      <c r="AR317" s="30">
        <v>5000</v>
      </c>
      <c r="AS317" s="30">
        <v>0</v>
      </c>
      <c r="AT317" s="30">
        <v>5750</v>
      </c>
      <c r="AU317" s="30">
        <v>0</v>
      </c>
      <c r="AV317" s="30">
        <v>7250</v>
      </c>
      <c r="AW317" s="30">
        <v>0</v>
      </c>
      <c r="AX317" s="30">
        <v>2750</v>
      </c>
      <c r="AY317" s="30">
        <v>0</v>
      </c>
      <c r="AZ317" s="30">
        <v>10500</v>
      </c>
      <c r="BA317" s="30">
        <v>0</v>
      </c>
      <c r="BB317" s="30">
        <v>13100</v>
      </c>
      <c r="BC317" s="30">
        <v>0</v>
      </c>
      <c r="BD317" s="30">
        <v>16800</v>
      </c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</row>
    <row r="318" spans="18:66" ht="13.5" thickBot="1">
      <c r="R318" s="7"/>
      <c r="S318" s="7"/>
      <c r="T318" s="7"/>
      <c r="U318" s="11" t="e">
        <f>HLOOKUP($T$192,$W$191:$BN$217,11)</f>
        <v>#N/A</v>
      </c>
      <c r="V318" s="11" t="e">
        <f>HLOOKUP($T$192,$W$191:$BN$217,23)</f>
        <v>#N/A</v>
      </c>
      <c r="W318" s="10"/>
      <c r="X318" s="10"/>
      <c r="Y318" s="30">
        <v>0</v>
      </c>
      <c r="Z318" s="30">
        <v>237</v>
      </c>
      <c r="AA318" s="30">
        <v>0</v>
      </c>
      <c r="AB318" s="30">
        <v>337</v>
      </c>
      <c r="AC318" s="30">
        <v>0</v>
      </c>
      <c r="AD318" s="30">
        <v>580</v>
      </c>
      <c r="AE318" s="30">
        <v>0</v>
      </c>
      <c r="AF318" s="32">
        <v>930</v>
      </c>
      <c r="AG318" s="35">
        <v>0</v>
      </c>
      <c r="AH318" s="32">
        <v>1395</v>
      </c>
      <c r="AI318" s="35">
        <v>0</v>
      </c>
      <c r="AJ318" s="36">
        <v>1650</v>
      </c>
      <c r="AK318" s="31">
        <v>0</v>
      </c>
      <c r="AL318" s="30">
        <v>2034</v>
      </c>
      <c r="AM318" s="30">
        <v>0</v>
      </c>
      <c r="AN318" s="30">
        <v>3000</v>
      </c>
      <c r="AO318" s="30">
        <v>0</v>
      </c>
      <c r="AP318" s="30">
        <v>3940</v>
      </c>
      <c r="AQ318" s="30">
        <v>0</v>
      </c>
      <c r="AR318" s="30">
        <v>5000</v>
      </c>
      <c r="AS318" s="30">
        <v>0</v>
      </c>
      <c r="AT318" s="30">
        <v>5750</v>
      </c>
      <c r="AU318" s="30">
        <v>0</v>
      </c>
      <c r="AV318" s="30">
        <v>7250</v>
      </c>
      <c r="AW318" s="30">
        <v>0</v>
      </c>
      <c r="AX318" s="30">
        <v>8500</v>
      </c>
      <c r="AY318" s="30">
        <v>0</v>
      </c>
      <c r="AZ318" s="30">
        <v>10500</v>
      </c>
      <c r="BA318" s="30">
        <v>0</v>
      </c>
      <c r="BB318" s="30">
        <v>13100</v>
      </c>
      <c r="BC318" s="30">
        <v>0</v>
      </c>
      <c r="BD318" s="30">
        <v>16800</v>
      </c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</row>
    <row r="319" spans="18:66" ht="13.5" thickBot="1">
      <c r="R319" s="7"/>
      <c r="S319" s="7"/>
      <c r="T319" s="7"/>
      <c r="U319" s="11" t="e">
        <f>HLOOKUP($T$192,$W$191:$BN$217,12)</f>
        <v>#N/A</v>
      </c>
      <c r="V319" s="11" t="e">
        <f>HLOOKUP($T$192,$W$191:$BN$217,24)</f>
        <v>#N/A</v>
      </c>
      <c r="W319" s="10"/>
      <c r="X319" s="10"/>
      <c r="Y319" s="30">
        <v>0</v>
      </c>
      <c r="Z319" s="30">
        <v>237</v>
      </c>
      <c r="AA319" s="30">
        <v>0</v>
      </c>
      <c r="AB319" s="30">
        <v>337</v>
      </c>
      <c r="AC319" s="30">
        <v>0</v>
      </c>
      <c r="AD319" s="30">
        <v>580</v>
      </c>
      <c r="AE319" s="30">
        <v>0</v>
      </c>
      <c r="AF319" s="32">
        <v>930</v>
      </c>
      <c r="AG319" s="35">
        <v>0</v>
      </c>
      <c r="AH319" s="32">
        <v>1395</v>
      </c>
      <c r="AI319" s="35">
        <v>0</v>
      </c>
      <c r="AJ319" s="36">
        <v>1650</v>
      </c>
      <c r="AK319" s="31">
        <v>0</v>
      </c>
      <c r="AL319" s="30">
        <v>2034</v>
      </c>
      <c r="AM319" s="30">
        <v>0</v>
      </c>
      <c r="AN319" s="30">
        <v>3000</v>
      </c>
      <c r="AO319" s="30">
        <v>0</v>
      </c>
      <c r="AP319" s="30">
        <v>3940</v>
      </c>
      <c r="AQ319" s="30">
        <v>0</v>
      </c>
      <c r="AR319" s="30">
        <v>5000</v>
      </c>
      <c r="AS319" s="30">
        <v>0</v>
      </c>
      <c r="AT319" s="30">
        <v>5750</v>
      </c>
      <c r="AU319" s="30">
        <v>0</v>
      </c>
      <c r="AV319" s="30">
        <v>7250</v>
      </c>
      <c r="AW319" s="30">
        <v>0</v>
      </c>
      <c r="AX319" s="30">
        <v>8500</v>
      </c>
      <c r="AY319" s="30">
        <v>0</v>
      </c>
      <c r="AZ319" s="30">
        <v>10500</v>
      </c>
      <c r="BA319" s="30">
        <v>0</v>
      </c>
      <c r="BB319" s="30">
        <v>13100</v>
      </c>
      <c r="BC319" s="30">
        <v>0</v>
      </c>
      <c r="BD319" s="30">
        <v>16800</v>
      </c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</row>
    <row r="320" spans="18:66" ht="13.5" thickBot="1">
      <c r="R320" s="7"/>
      <c r="S320" s="7"/>
      <c r="T320" s="7"/>
      <c r="U320" s="11" t="e">
        <f>HLOOKUP($T$192,$W$191:$BN$217,13)</f>
        <v>#N/A</v>
      </c>
      <c r="V320" s="11" t="e">
        <f>HLOOKUP($T$192,$W$191:$BN$217,25)</f>
        <v>#N/A</v>
      </c>
      <c r="W320" s="10"/>
      <c r="X320" s="10"/>
      <c r="Y320" s="30">
        <v>0</v>
      </c>
      <c r="Z320" s="30">
        <v>237</v>
      </c>
      <c r="AA320" s="30">
        <v>0</v>
      </c>
      <c r="AB320" s="30">
        <v>337</v>
      </c>
      <c r="AC320" s="30">
        <v>0</v>
      </c>
      <c r="AD320" s="30">
        <v>580</v>
      </c>
      <c r="AE320" s="30">
        <v>0</v>
      </c>
      <c r="AF320" s="32">
        <v>930</v>
      </c>
      <c r="AG320" s="35">
        <v>0</v>
      </c>
      <c r="AH320" s="32">
        <v>1395</v>
      </c>
      <c r="AI320" s="35">
        <v>0</v>
      </c>
      <c r="AJ320" s="36">
        <v>1650</v>
      </c>
      <c r="AK320" s="31">
        <v>0</v>
      </c>
      <c r="AL320" s="30">
        <v>2034</v>
      </c>
      <c r="AM320" s="30">
        <v>0</v>
      </c>
      <c r="AN320" s="30">
        <v>3000</v>
      </c>
      <c r="AO320" s="30">
        <v>0</v>
      </c>
      <c r="AP320" s="30">
        <v>3940</v>
      </c>
      <c r="AQ320" s="30">
        <v>0</v>
      </c>
      <c r="AR320" s="30">
        <v>5000</v>
      </c>
      <c r="AS320" s="30">
        <v>0</v>
      </c>
      <c r="AT320" s="30">
        <v>5750</v>
      </c>
      <c r="AU320" s="30">
        <v>0</v>
      </c>
      <c r="AV320" s="30">
        <v>7250</v>
      </c>
      <c r="AW320" s="30">
        <v>0</v>
      </c>
      <c r="AX320" s="30">
        <v>8500</v>
      </c>
      <c r="AY320" s="30">
        <v>0</v>
      </c>
      <c r="AZ320" s="30">
        <v>10500</v>
      </c>
      <c r="BA320" s="30">
        <v>0</v>
      </c>
      <c r="BB320" s="30">
        <v>13100</v>
      </c>
      <c r="BC320" s="30">
        <v>0</v>
      </c>
      <c r="BD320" s="30">
        <v>16800</v>
      </c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</row>
    <row r="321" spans="18:66" ht="12.75">
      <c r="R321" s="7"/>
      <c r="S321" s="7"/>
      <c r="T321" s="7"/>
      <c r="U321" s="11" t="e">
        <f>HLOOKUP($T$192,$W$191:$BN$217,14)</f>
        <v>#N/A</v>
      </c>
      <c r="V321" s="11" t="e">
        <f>HLOOKUP($T$192,$W$191:$BN$217,26)</f>
        <v>#N/A</v>
      </c>
      <c r="W321" s="10"/>
      <c r="X321" s="10"/>
      <c r="Y321" s="30">
        <v>0</v>
      </c>
      <c r="Z321" s="30">
        <v>237</v>
      </c>
      <c r="AA321" s="30">
        <v>0</v>
      </c>
      <c r="AB321" s="30">
        <v>337</v>
      </c>
      <c r="AC321" s="30">
        <v>0</v>
      </c>
      <c r="AD321" s="30">
        <v>580</v>
      </c>
      <c r="AE321" s="30">
        <v>0</v>
      </c>
      <c r="AF321" s="32">
        <v>930</v>
      </c>
      <c r="AG321" s="35">
        <v>0</v>
      </c>
      <c r="AH321" s="32">
        <v>1395</v>
      </c>
      <c r="AI321" s="35">
        <v>0</v>
      </c>
      <c r="AJ321" s="36">
        <v>1650</v>
      </c>
      <c r="AK321" s="31">
        <v>0</v>
      </c>
      <c r="AL321" s="30">
        <v>2034</v>
      </c>
      <c r="AM321" s="30">
        <v>0</v>
      </c>
      <c r="AN321" s="30">
        <v>3000</v>
      </c>
      <c r="AO321" s="30">
        <v>0</v>
      </c>
      <c r="AP321" s="30">
        <v>3940</v>
      </c>
      <c r="AQ321" s="30">
        <v>0</v>
      </c>
      <c r="AR321" s="30">
        <v>5000</v>
      </c>
      <c r="AS321" s="30">
        <v>0</v>
      </c>
      <c r="AT321" s="30">
        <v>5750</v>
      </c>
      <c r="AU321" s="30">
        <v>0</v>
      </c>
      <c r="AV321" s="30">
        <v>7250</v>
      </c>
      <c r="AW321" s="30">
        <v>0</v>
      </c>
      <c r="AX321" s="30">
        <v>8500</v>
      </c>
      <c r="AY321" s="30">
        <v>0</v>
      </c>
      <c r="AZ321" s="30">
        <v>10500</v>
      </c>
      <c r="BA321" s="30">
        <v>0</v>
      </c>
      <c r="BB321" s="30">
        <v>13100</v>
      </c>
      <c r="BC321" s="30">
        <v>0</v>
      </c>
      <c r="BD321" s="30">
        <v>16800</v>
      </c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</row>
    <row r="322" spans="18:66" ht="12.75">
      <c r="R322" s="7"/>
      <c r="S322" s="7"/>
      <c r="T322" s="7"/>
      <c r="U322" s="7"/>
      <c r="V322" s="7"/>
      <c r="W322" s="10" t="str">
        <f aca="true" t="shared" si="156" ref="W322:W333">X310</f>
        <v>potenza</v>
      </c>
      <c r="X322" s="10"/>
      <c r="Y322" s="10" t="str">
        <f>Z310</f>
        <v>potenza</v>
      </c>
      <c r="Z322" s="10"/>
      <c r="AA322" s="10" t="str">
        <f>AB310</f>
        <v>potenza</v>
      </c>
      <c r="AB322" s="10"/>
      <c r="AC322" s="10" t="str">
        <f>AD310</f>
        <v>potenza</v>
      </c>
      <c r="AD322" s="10"/>
      <c r="AE322" s="17" t="str">
        <f>AF310</f>
        <v>potenza</v>
      </c>
      <c r="AF322" s="17"/>
      <c r="AG322" s="17" t="str">
        <f>AH310</f>
        <v>potenza</v>
      </c>
      <c r="AH322" s="17"/>
      <c r="AI322" s="10" t="str">
        <f>AJ310</f>
        <v>potenza</v>
      </c>
      <c r="AJ322" s="10"/>
      <c r="AK322" s="10" t="str">
        <f>AL310</f>
        <v>potenza</v>
      </c>
      <c r="AL322" s="10"/>
      <c r="AM322" s="10" t="str">
        <f>AN310</f>
        <v>potenza</v>
      </c>
      <c r="AN322" s="10"/>
      <c r="AO322" s="10" t="str">
        <f>AP310</f>
        <v>potenza</v>
      </c>
      <c r="AP322" s="10"/>
      <c r="AQ322" s="10" t="str">
        <f>AR310</f>
        <v>potenza</v>
      </c>
      <c r="AR322" s="10"/>
      <c r="AS322" s="10" t="str">
        <f>AT310</f>
        <v>potenza</v>
      </c>
      <c r="AT322" s="10"/>
      <c r="AU322" s="10" t="str">
        <f>AV310</f>
        <v>potenza</v>
      </c>
      <c r="AV322" s="10"/>
      <c r="AW322" s="10" t="str">
        <f>AX310</f>
        <v>potenza</v>
      </c>
      <c r="AX322" s="10"/>
      <c r="AY322" s="10" t="str">
        <f>AZ310</f>
        <v>potenza</v>
      </c>
      <c r="AZ322" s="10"/>
      <c r="BA322" s="10" t="str">
        <f>BB310</f>
        <v>potenza</v>
      </c>
      <c r="BB322" s="10"/>
      <c r="BC322" s="10" t="str">
        <f>BD310</f>
        <v>potenza</v>
      </c>
      <c r="BD322" s="10"/>
      <c r="BE322" s="10" t="str">
        <f>BF310</f>
        <v>potenza</v>
      </c>
      <c r="BF322" s="10"/>
      <c r="BG322" s="10" t="str">
        <f>BH310</f>
        <v>potenza</v>
      </c>
      <c r="BH322" s="10"/>
      <c r="BI322" s="10" t="str">
        <f>BJ310</f>
        <v>potenza</v>
      </c>
      <c r="BJ322" s="10"/>
      <c r="BK322" s="10" t="str">
        <f>BL310</f>
        <v>potenza</v>
      </c>
      <c r="BL322" s="10"/>
      <c r="BM322" s="10" t="str">
        <f>BN310</f>
        <v>potenza</v>
      </c>
      <c r="BN322" s="7"/>
    </row>
    <row r="323" spans="18:66" ht="12.75">
      <c r="R323" s="7"/>
      <c r="S323" s="7"/>
      <c r="T323" s="7"/>
      <c r="U323" s="7"/>
      <c r="V323" s="7"/>
      <c r="W323" s="10">
        <f t="shared" si="156"/>
        <v>0</v>
      </c>
      <c r="X323" s="10"/>
      <c r="Y323" s="10">
        <f aca="true" t="shared" si="157" ref="Y323:Y333">Z311</f>
        <v>237</v>
      </c>
      <c r="Z323" s="10"/>
      <c r="AA323" s="10">
        <f aca="true" t="shared" si="158" ref="AA323:AA333">AB311</f>
        <v>337</v>
      </c>
      <c r="AB323" s="10"/>
      <c r="AC323" s="10">
        <f aca="true" t="shared" si="159" ref="AC323:AC333">AD311</f>
        <v>580</v>
      </c>
      <c r="AD323" s="10"/>
      <c r="AE323" s="10">
        <f aca="true" t="shared" si="160" ref="AE323:AE333">AF311</f>
        <v>930</v>
      </c>
      <c r="AF323" s="10"/>
      <c r="AG323" s="10">
        <f aca="true" t="shared" si="161" ref="AG323:AG333">AH311</f>
        <v>1395</v>
      </c>
      <c r="AH323" s="10"/>
      <c r="AI323" s="10">
        <f aca="true" t="shared" si="162" ref="AI323:AI333">AJ311</f>
        <v>1650</v>
      </c>
      <c r="AJ323" s="10"/>
      <c r="AK323" s="10">
        <f aca="true" t="shared" si="163" ref="AK323:AK333">AL311</f>
        <v>2034</v>
      </c>
      <c r="AL323" s="10"/>
      <c r="AM323" s="10">
        <f aca="true" t="shared" si="164" ref="AM323:AM333">AN311</f>
        <v>3000</v>
      </c>
      <c r="AN323" s="10"/>
      <c r="AO323" s="10">
        <f aca="true" t="shared" si="165" ref="AO323:AO333">AP311</f>
        <v>3940</v>
      </c>
      <c r="AP323" s="10"/>
      <c r="AQ323" s="10">
        <f aca="true" t="shared" si="166" ref="AQ323:AQ333">AR311</f>
        <v>5000</v>
      </c>
      <c r="AR323" s="10"/>
      <c r="AS323" s="10">
        <f aca="true" t="shared" si="167" ref="AS323:AS333">AT311</f>
        <v>5750</v>
      </c>
      <c r="AT323" s="10"/>
      <c r="AU323" s="10">
        <f aca="true" t="shared" si="168" ref="AU323:AU333">AV311</f>
        <v>7250</v>
      </c>
      <c r="AV323" s="10"/>
      <c r="AW323" s="10">
        <f aca="true" t="shared" si="169" ref="AW323:AW333">AX311</f>
        <v>8500</v>
      </c>
      <c r="AX323" s="10"/>
      <c r="AY323" s="10">
        <f aca="true" t="shared" si="170" ref="AY323:AY333">AZ311</f>
        <v>10500</v>
      </c>
      <c r="AZ323" s="10"/>
      <c r="BA323" s="10">
        <f aca="true" t="shared" si="171" ref="BA323:BA333">BB311</f>
        <v>13100</v>
      </c>
      <c r="BB323" s="10"/>
      <c r="BC323" s="10">
        <f aca="true" t="shared" si="172" ref="BC323:BC333">BD311</f>
        <v>16800</v>
      </c>
      <c r="BD323" s="10"/>
      <c r="BE323" s="10">
        <f aca="true" t="shared" si="173" ref="BE323:BE333">BF311</f>
        <v>0</v>
      </c>
      <c r="BF323" s="10"/>
      <c r="BG323" s="10">
        <f aca="true" t="shared" si="174" ref="BG323:BG333">BH311</f>
        <v>0</v>
      </c>
      <c r="BH323" s="10"/>
      <c r="BI323" s="10">
        <f aca="true" t="shared" si="175" ref="BI323:BI333">BJ311</f>
        <v>0</v>
      </c>
      <c r="BJ323" s="10"/>
      <c r="BK323" s="10">
        <f aca="true" t="shared" si="176" ref="BK323:BK333">BL311</f>
        <v>0</v>
      </c>
      <c r="BL323" s="10"/>
      <c r="BM323" s="10">
        <f aca="true" t="shared" si="177" ref="BM323:BM333">BN311</f>
        <v>0</v>
      </c>
      <c r="BN323" s="7"/>
    </row>
    <row r="324" spans="18:66" ht="12.75">
      <c r="R324" s="7"/>
      <c r="S324" s="7"/>
      <c r="T324" s="10">
        <v>1</v>
      </c>
      <c r="U324" s="10" t="str">
        <f>W309</f>
        <v>Oilflam15.1</v>
      </c>
      <c r="V324" s="10"/>
      <c r="W324" s="16">
        <f t="shared" si="156"/>
        <v>0</v>
      </c>
      <c r="X324" s="10"/>
      <c r="Y324" s="10">
        <f t="shared" si="157"/>
        <v>130</v>
      </c>
      <c r="Z324" s="10"/>
      <c r="AA324" s="10">
        <f t="shared" si="158"/>
        <v>205</v>
      </c>
      <c r="AB324" s="10"/>
      <c r="AC324" s="10">
        <f t="shared" si="159"/>
        <v>348</v>
      </c>
      <c r="AD324" s="10"/>
      <c r="AE324" s="10">
        <f t="shared" si="160"/>
        <v>534</v>
      </c>
      <c r="AF324" s="10"/>
      <c r="AG324" s="10">
        <f t="shared" si="161"/>
        <v>930</v>
      </c>
      <c r="AH324" s="10"/>
      <c r="AI324" s="10">
        <f t="shared" si="162"/>
        <v>1650</v>
      </c>
      <c r="AJ324" s="10"/>
      <c r="AK324" s="10">
        <f t="shared" si="163"/>
        <v>2034</v>
      </c>
      <c r="AL324" s="10"/>
      <c r="AM324" s="10">
        <f t="shared" si="164"/>
        <v>2437</v>
      </c>
      <c r="AN324" s="10"/>
      <c r="AO324" s="10">
        <f t="shared" si="165"/>
        <v>3870</v>
      </c>
      <c r="AP324" s="10"/>
      <c r="AQ324" s="10">
        <f t="shared" si="166"/>
        <v>3500</v>
      </c>
      <c r="AR324" s="10"/>
      <c r="AS324" s="10">
        <f t="shared" si="167"/>
        <v>4375</v>
      </c>
      <c r="AT324" s="10"/>
      <c r="AU324" s="10">
        <f t="shared" si="168"/>
        <v>7250</v>
      </c>
      <c r="AV324" s="10"/>
      <c r="AW324" s="10">
        <f t="shared" si="169"/>
        <v>8500</v>
      </c>
      <c r="AX324" s="10"/>
      <c r="AY324" s="10">
        <f t="shared" si="170"/>
        <v>9000</v>
      </c>
      <c r="AZ324" s="10"/>
      <c r="BA324" s="10">
        <f t="shared" si="171"/>
        <v>10500</v>
      </c>
      <c r="BB324" s="10"/>
      <c r="BC324" s="10">
        <f t="shared" si="172"/>
        <v>14000</v>
      </c>
      <c r="BD324" s="10"/>
      <c r="BE324" s="10">
        <f t="shared" si="173"/>
        <v>0</v>
      </c>
      <c r="BF324" s="10"/>
      <c r="BG324" s="10">
        <f t="shared" si="174"/>
        <v>0</v>
      </c>
      <c r="BH324" s="10"/>
      <c r="BI324" s="10">
        <f t="shared" si="175"/>
        <v>0</v>
      </c>
      <c r="BJ324" s="10"/>
      <c r="BK324" s="10">
        <f t="shared" si="176"/>
        <v>0</v>
      </c>
      <c r="BL324" s="10"/>
      <c r="BM324" s="10">
        <f t="shared" si="177"/>
        <v>0</v>
      </c>
      <c r="BN324" s="7"/>
    </row>
    <row r="325" spans="18:66" ht="12.75">
      <c r="R325" s="7"/>
      <c r="S325" s="7"/>
      <c r="T325" s="10">
        <f>T324+1</f>
        <v>2</v>
      </c>
      <c r="U325" s="10" t="str">
        <f>Y309</f>
        <v>Oilflam 20.1</v>
      </c>
      <c r="V325" s="10"/>
      <c r="W325" s="16">
        <f t="shared" si="156"/>
        <v>0</v>
      </c>
      <c r="X325" s="10"/>
      <c r="Y325" s="10">
        <f t="shared" si="157"/>
        <v>95</v>
      </c>
      <c r="Z325" s="10"/>
      <c r="AA325" s="10">
        <f t="shared" si="158"/>
        <v>170</v>
      </c>
      <c r="AB325" s="10"/>
      <c r="AC325" s="10">
        <f t="shared" si="159"/>
        <v>290</v>
      </c>
      <c r="AD325" s="10"/>
      <c r="AE325" s="10">
        <f t="shared" si="160"/>
        <v>465</v>
      </c>
      <c r="AF325" s="10"/>
      <c r="AG325" s="10">
        <f t="shared" si="161"/>
        <v>800</v>
      </c>
      <c r="AH325" s="10"/>
      <c r="AI325" s="10">
        <f t="shared" si="162"/>
        <v>1570</v>
      </c>
      <c r="AJ325" s="10"/>
      <c r="AK325" s="10">
        <f t="shared" si="163"/>
        <v>1616</v>
      </c>
      <c r="AL325" s="10"/>
      <c r="AM325" s="10">
        <f t="shared" si="164"/>
        <v>1562</v>
      </c>
      <c r="AN325" s="10"/>
      <c r="AO325" s="10">
        <f t="shared" si="165"/>
        <v>3062</v>
      </c>
      <c r="AP325" s="10"/>
      <c r="AQ325" s="10">
        <f t="shared" si="166"/>
        <v>1625</v>
      </c>
      <c r="AR325" s="10"/>
      <c r="AS325" s="10">
        <f t="shared" si="167"/>
        <v>2125</v>
      </c>
      <c r="AT325" s="10"/>
      <c r="AU325" s="10">
        <f t="shared" si="168"/>
        <v>5000</v>
      </c>
      <c r="AV325" s="10"/>
      <c r="AW325" s="10">
        <f t="shared" si="169"/>
        <v>7900</v>
      </c>
      <c r="AX325" s="10"/>
      <c r="AY325" s="10">
        <f t="shared" si="170"/>
        <v>7300</v>
      </c>
      <c r="AZ325" s="10"/>
      <c r="BA325" s="10">
        <f t="shared" si="171"/>
        <v>9000</v>
      </c>
      <c r="BB325" s="10"/>
      <c r="BC325" s="10">
        <f t="shared" si="172"/>
        <v>12700</v>
      </c>
      <c r="BD325" s="10"/>
      <c r="BE325" s="10">
        <f t="shared" si="173"/>
        <v>0</v>
      </c>
      <c r="BF325" s="10"/>
      <c r="BG325" s="10">
        <f t="shared" si="174"/>
        <v>0</v>
      </c>
      <c r="BH325" s="10"/>
      <c r="BI325" s="10">
        <f t="shared" si="175"/>
        <v>0</v>
      </c>
      <c r="BJ325" s="10"/>
      <c r="BK325" s="10">
        <f t="shared" si="176"/>
        <v>0</v>
      </c>
      <c r="BL325" s="10"/>
      <c r="BM325" s="10">
        <f t="shared" si="177"/>
        <v>0</v>
      </c>
      <c r="BN325" s="7"/>
    </row>
    <row r="326" spans="18:66" ht="12.75">
      <c r="R326" s="7"/>
      <c r="S326" s="7"/>
      <c r="T326" s="10">
        <f aca="true" t="shared" si="178" ref="T326:T345">T325+1</f>
        <v>3</v>
      </c>
      <c r="U326" s="10" t="str">
        <f>AA309</f>
        <v>Oilflam 30.1</v>
      </c>
      <c r="V326" s="10"/>
      <c r="W326" s="16">
        <f t="shared" si="156"/>
        <v>0</v>
      </c>
      <c r="X326" s="10"/>
      <c r="Y326" s="10">
        <f t="shared" si="157"/>
        <v>95</v>
      </c>
      <c r="Z326" s="10"/>
      <c r="AA326" s="10">
        <f t="shared" si="158"/>
        <v>170</v>
      </c>
      <c r="AB326" s="10"/>
      <c r="AC326" s="10">
        <f t="shared" si="159"/>
        <v>290</v>
      </c>
      <c r="AD326" s="10"/>
      <c r="AE326" s="10">
        <f t="shared" si="160"/>
        <v>465</v>
      </c>
      <c r="AF326" s="10"/>
      <c r="AG326" s="10">
        <f t="shared" si="161"/>
        <v>674</v>
      </c>
      <c r="AH326" s="10"/>
      <c r="AI326" s="10">
        <f t="shared" si="162"/>
        <v>1348</v>
      </c>
      <c r="AJ326" s="10"/>
      <c r="AK326" s="10">
        <f t="shared" si="163"/>
        <v>1023</v>
      </c>
      <c r="AL326" s="10"/>
      <c r="AM326" s="10">
        <f t="shared" si="164"/>
        <v>1000</v>
      </c>
      <c r="AN326" s="10"/>
      <c r="AO326" s="10">
        <f t="shared" si="165"/>
        <v>2190</v>
      </c>
      <c r="AP326" s="10"/>
      <c r="AQ326" s="10">
        <f t="shared" si="166"/>
        <v>1560</v>
      </c>
      <c r="AR326" s="10"/>
      <c r="AS326" s="10">
        <f t="shared" si="167"/>
        <v>1800</v>
      </c>
      <c r="AT326" s="10"/>
      <c r="AU326" s="10">
        <f t="shared" si="168"/>
        <v>2800</v>
      </c>
      <c r="AV326" s="10"/>
      <c r="AW326" s="10">
        <f t="shared" si="169"/>
        <v>6500</v>
      </c>
      <c r="AX326" s="10"/>
      <c r="AY326" s="10">
        <f t="shared" si="170"/>
        <v>4900</v>
      </c>
      <c r="AZ326" s="10"/>
      <c r="BA326" s="10">
        <f t="shared" si="171"/>
        <v>5300</v>
      </c>
      <c r="BB326" s="10"/>
      <c r="BC326" s="10">
        <f t="shared" si="172"/>
        <v>7000</v>
      </c>
      <c r="BD326" s="10"/>
      <c r="BE326" s="10">
        <f t="shared" si="173"/>
        <v>0</v>
      </c>
      <c r="BF326" s="10"/>
      <c r="BG326" s="10">
        <f t="shared" si="174"/>
        <v>0</v>
      </c>
      <c r="BH326" s="10"/>
      <c r="BI326" s="10">
        <f t="shared" si="175"/>
        <v>0</v>
      </c>
      <c r="BJ326" s="10"/>
      <c r="BK326" s="10">
        <f t="shared" si="176"/>
        <v>0</v>
      </c>
      <c r="BL326" s="10"/>
      <c r="BM326" s="10">
        <f t="shared" si="177"/>
        <v>0</v>
      </c>
      <c r="BN326" s="7"/>
    </row>
    <row r="327" spans="18:66" ht="12.75">
      <c r="R327" s="7"/>
      <c r="S327" s="7"/>
      <c r="T327" s="10">
        <f t="shared" si="178"/>
        <v>4</v>
      </c>
      <c r="U327" s="10" t="str">
        <f>AC309</f>
        <v>Oilflam 50.1</v>
      </c>
      <c r="V327" s="10"/>
      <c r="W327" s="16">
        <f t="shared" si="156"/>
        <v>0</v>
      </c>
      <c r="X327" s="10"/>
      <c r="Y327" s="10">
        <f t="shared" si="157"/>
        <v>237</v>
      </c>
      <c r="Z327" s="10"/>
      <c r="AA327" s="10">
        <f t="shared" si="158"/>
        <v>337</v>
      </c>
      <c r="AB327" s="10"/>
      <c r="AC327" s="10">
        <f t="shared" si="159"/>
        <v>580</v>
      </c>
      <c r="AD327" s="10"/>
      <c r="AE327" s="10">
        <f t="shared" si="160"/>
        <v>930</v>
      </c>
      <c r="AF327" s="10"/>
      <c r="AG327" s="10">
        <f t="shared" si="161"/>
        <v>1395</v>
      </c>
      <c r="AH327" s="10"/>
      <c r="AI327" s="10">
        <f t="shared" si="162"/>
        <v>813</v>
      </c>
      <c r="AJ327" s="10"/>
      <c r="AK327" s="10">
        <f t="shared" si="163"/>
        <v>697</v>
      </c>
      <c r="AL327" s="10"/>
      <c r="AM327" s="10">
        <f t="shared" si="164"/>
        <v>1000</v>
      </c>
      <c r="AN327" s="10"/>
      <c r="AO327" s="10">
        <f t="shared" si="165"/>
        <v>1800</v>
      </c>
      <c r="AP327" s="10"/>
      <c r="AQ327" s="10">
        <f t="shared" si="166"/>
        <v>1560</v>
      </c>
      <c r="AR327" s="10"/>
      <c r="AS327" s="10">
        <f t="shared" si="167"/>
        <v>1800</v>
      </c>
      <c r="AT327" s="10"/>
      <c r="AU327" s="10">
        <f t="shared" si="168"/>
        <v>2417</v>
      </c>
      <c r="AV327" s="10"/>
      <c r="AW327" s="10">
        <f t="shared" si="169"/>
        <v>3800</v>
      </c>
      <c r="AX327" s="10"/>
      <c r="AY327" s="10">
        <f t="shared" si="170"/>
        <v>3300</v>
      </c>
      <c r="AZ327" s="10"/>
      <c r="BA327" s="10">
        <f t="shared" si="171"/>
        <v>4367</v>
      </c>
      <c r="BB327" s="10"/>
      <c r="BC327" s="10">
        <f t="shared" si="172"/>
        <v>5600</v>
      </c>
      <c r="BD327" s="10"/>
      <c r="BE327" s="10">
        <f t="shared" si="173"/>
        <v>0</v>
      </c>
      <c r="BF327" s="10"/>
      <c r="BG327" s="10">
        <f t="shared" si="174"/>
        <v>0</v>
      </c>
      <c r="BH327" s="10"/>
      <c r="BI327" s="10">
        <f t="shared" si="175"/>
        <v>0</v>
      </c>
      <c r="BJ327" s="10"/>
      <c r="BK327" s="10">
        <f t="shared" si="176"/>
        <v>0</v>
      </c>
      <c r="BL327" s="10"/>
      <c r="BM327" s="10">
        <f t="shared" si="177"/>
        <v>0</v>
      </c>
      <c r="BN327" s="7"/>
    </row>
    <row r="328" spans="18:66" ht="12.75">
      <c r="R328" s="7"/>
      <c r="S328" s="7"/>
      <c r="T328" s="10">
        <f t="shared" si="178"/>
        <v>5</v>
      </c>
      <c r="U328" s="10" t="str">
        <f>AE309</f>
        <v>Oilflam 80.1</v>
      </c>
      <c r="V328" s="10"/>
      <c r="W328" s="16">
        <f t="shared" si="156"/>
        <v>0</v>
      </c>
      <c r="X328" s="10"/>
      <c r="Y328" s="10">
        <f t="shared" si="157"/>
        <v>237</v>
      </c>
      <c r="Z328" s="10"/>
      <c r="AA328" s="10">
        <f t="shared" si="158"/>
        <v>337</v>
      </c>
      <c r="AB328" s="10"/>
      <c r="AC328" s="10">
        <f t="shared" si="159"/>
        <v>580</v>
      </c>
      <c r="AD328" s="10"/>
      <c r="AE328" s="10">
        <f t="shared" si="160"/>
        <v>930</v>
      </c>
      <c r="AF328" s="10"/>
      <c r="AG328" s="10">
        <f t="shared" si="161"/>
        <v>1395</v>
      </c>
      <c r="AH328" s="10"/>
      <c r="AI328" s="10">
        <f t="shared" si="162"/>
        <v>697</v>
      </c>
      <c r="AJ328" s="10"/>
      <c r="AK328" s="10">
        <f t="shared" si="163"/>
        <v>2034</v>
      </c>
      <c r="AL328" s="10"/>
      <c r="AM328" s="10">
        <f t="shared" si="164"/>
        <v>3000</v>
      </c>
      <c r="AN328" s="10"/>
      <c r="AO328" s="10">
        <f t="shared" si="165"/>
        <v>1800</v>
      </c>
      <c r="AP328" s="10"/>
      <c r="AQ328" s="10">
        <f t="shared" si="166"/>
        <v>5000</v>
      </c>
      <c r="AR328" s="10"/>
      <c r="AS328" s="10">
        <f t="shared" si="167"/>
        <v>5750</v>
      </c>
      <c r="AT328" s="10"/>
      <c r="AU328" s="10">
        <f t="shared" si="168"/>
        <v>2417</v>
      </c>
      <c r="AV328" s="10"/>
      <c r="AW328" s="10">
        <f t="shared" si="169"/>
        <v>2750</v>
      </c>
      <c r="AX328" s="10"/>
      <c r="AY328" s="10">
        <f t="shared" si="170"/>
        <v>3300</v>
      </c>
      <c r="AZ328" s="10"/>
      <c r="BA328" s="10">
        <f t="shared" si="171"/>
        <v>4367</v>
      </c>
      <c r="BB328" s="10"/>
      <c r="BC328" s="10">
        <f t="shared" si="172"/>
        <v>5600</v>
      </c>
      <c r="BD328" s="10"/>
      <c r="BE328" s="10">
        <f t="shared" si="173"/>
        <v>0</v>
      </c>
      <c r="BF328" s="10"/>
      <c r="BG328" s="10">
        <f t="shared" si="174"/>
        <v>0</v>
      </c>
      <c r="BH328" s="10"/>
      <c r="BI328" s="10">
        <f t="shared" si="175"/>
        <v>0</v>
      </c>
      <c r="BJ328" s="10"/>
      <c r="BK328" s="10">
        <f t="shared" si="176"/>
        <v>0</v>
      </c>
      <c r="BL328" s="10"/>
      <c r="BM328" s="10">
        <f t="shared" si="177"/>
        <v>0</v>
      </c>
      <c r="BN328" s="7"/>
    </row>
    <row r="329" spans="18:66" ht="12.75">
      <c r="R329" s="7"/>
      <c r="S329" s="7"/>
      <c r="T329" s="10">
        <f t="shared" si="178"/>
        <v>6</v>
      </c>
      <c r="U329" s="10" t="str">
        <f>AG309</f>
        <v>Oilflam 120.1</v>
      </c>
      <c r="V329" s="10"/>
      <c r="W329" s="16">
        <f t="shared" si="156"/>
        <v>0</v>
      </c>
      <c r="X329" s="10"/>
      <c r="Y329" s="10">
        <f t="shared" si="157"/>
        <v>237</v>
      </c>
      <c r="Z329" s="10"/>
      <c r="AA329" s="10">
        <f t="shared" si="158"/>
        <v>337</v>
      </c>
      <c r="AB329" s="10"/>
      <c r="AC329" s="10">
        <f t="shared" si="159"/>
        <v>580</v>
      </c>
      <c r="AD329" s="10"/>
      <c r="AE329" s="10">
        <f t="shared" si="160"/>
        <v>930</v>
      </c>
      <c r="AF329" s="10"/>
      <c r="AG329" s="10">
        <f t="shared" si="161"/>
        <v>1395</v>
      </c>
      <c r="AH329" s="10"/>
      <c r="AI329" s="10">
        <f t="shared" si="162"/>
        <v>1650</v>
      </c>
      <c r="AJ329" s="10"/>
      <c r="AK329" s="10">
        <f t="shared" si="163"/>
        <v>2034</v>
      </c>
      <c r="AL329" s="10"/>
      <c r="AM329" s="10">
        <f t="shared" si="164"/>
        <v>3000</v>
      </c>
      <c r="AN329" s="10"/>
      <c r="AO329" s="10">
        <f t="shared" si="165"/>
        <v>3940</v>
      </c>
      <c r="AP329" s="10"/>
      <c r="AQ329" s="10">
        <f t="shared" si="166"/>
        <v>5000</v>
      </c>
      <c r="AR329" s="10"/>
      <c r="AS329" s="10">
        <f t="shared" si="167"/>
        <v>5750</v>
      </c>
      <c r="AT329" s="10"/>
      <c r="AU329" s="10">
        <f t="shared" si="168"/>
        <v>7250</v>
      </c>
      <c r="AV329" s="10"/>
      <c r="AW329" s="10">
        <f t="shared" si="169"/>
        <v>2750</v>
      </c>
      <c r="AX329" s="10"/>
      <c r="AY329" s="10">
        <f t="shared" si="170"/>
        <v>10500</v>
      </c>
      <c r="AZ329" s="10"/>
      <c r="BA329" s="10">
        <f t="shared" si="171"/>
        <v>13100</v>
      </c>
      <c r="BB329" s="10"/>
      <c r="BC329" s="10">
        <f t="shared" si="172"/>
        <v>16800</v>
      </c>
      <c r="BD329" s="10"/>
      <c r="BE329" s="10">
        <f t="shared" si="173"/>
        <v>0</v>
      </c>
      <c r="BF329" s="10"/>
      <c r="BG329" s="10">
        <f t="shared" si="174"/>
        <v>0</v>
      </c>
      <c r="BH329" s="10"/>
      <c r="BI329" s="10">
        <f t="shared" si="175"/>
        <v>0</v>
      </c>
      <c r="BJ329" s="10"/>
      <c r="BK329" s="10">
        <f t="shared" si="176"/>
        <v>0</v>
      </c>
      <c r="BL329" s="10"/>
      <c r="BM329" s="10">
        <f t="shared" si="177"/>
        <v>0</v>
      </c>
      <c r="BN329" s="7"/>
    </row>
    <row r="330" spans="18:66" ht="12.75">
      <c r="R330" s="7"/>
      <c r="S330" s="7"/>
      <c r="T330" s="10">
        <f t="shared" si="178"/>
        <v>7</v>
      </c>
      <c r="U330" s="10" t="str">
        <f>AI309</f>
        <v>Oilflam 170.1</v>
      </c>
      <c r="V330" s="10"/>
      <c r="W330" s="16">
        <f t="shared" si="156"/>
        <v>0</v>
      </c>
      <c r="X330" s="10"/>
      <c r="Y330" s="10">
        <f t="shared" si="157"/>
        <v>237</v>
      </c>
      <c r="Z330" s="10"/>
      <c r="AA330" s="10">
        <f t="shared" si="158"/>
        <v>337</v>
      </c>
      <c r="AB330" s="10"/>
      <c r="AC330" s="10">
        <f t="shared" si="159"/>
        <v>580</v>
      </c>
      <c r="AD330" s="10"/>
      <c r="AE330" s="10">
        <f t="shared" si="160"/>
        <v>930</v>
      </c>
      <c r="AF330" s="10"/>
      <c r="AG330" s="10">
        <f t="shared" si="161"/>
        <v>1395</v>
      </c>
      <c r="AH330" s="10"/>
      <c r="AI330" s="10">
        <f t="shared" si="162"/>
        <v>1650</v>
      </c>
      <c r="AJ330" s="10"/>
      <c r="AK330" s="10">
        <f t="shared" si="163"/>
        <v>2034</v>
      </c>
      <c r="AL330" s="10"/>
      <c r="AM330" s="10">
        <f t="shared" si="164"/>
        <v>3000</v>
      </c>
      <c r="AN330" s="10"/>
      <c r="AO330" s="10">
        <f t="shared" si="165"/>
        <v>3940</v>
      </c>
      <c r="AP330" s="10"/>
      <c r="AQ330" s="10">
        <f t="shared" si="166"/>
        <v>5000</v>
      </c>
      <c r="AR330" s="10"/>
      <c r="AS330" s="10">
        <f t="shared" si="167"/>
        <v>5750</v>
      </c>
      <c r="AT330" s="10"/>
      <c r="AU330" s="10">
        <f t="shared" si="168"/>
        <v>7250</v>
      </c>
      <c r="AV330" s="10"/>
      <c r="AW330" s="10">
        <f t="shared" si="169"/>
        <v>8500</v>
      </c>
      <c r="AX330" s="10"/>
      <c r="AY330" s="10">
        <f t="shared" si="170"/>
        <v>10500</v>
      </c>
      <c r="AZ330" s="10"/>
      <c r="BA330" s="10">
        <f t="shared" si="171"/>
        <v>13100</v>
      </c>
      <c r="BB330" s="10"/>
      <c r="BC330" s="10">
        <f t="shared" si="172"/>
        <v>16800</v>
      </c>
      <c r="BD330" s="10"/>
      <c r="BE330" s="10">
        <f t="shared" si="173"/>
        <v>0</v>
      </c>
      <c r="BF330" s="10"/>
      <c r="BG330" s="10">
        <f t="shared" si="174"/>
        <v>0</v>
      </c>
      <c r="BH330" s="10"/>
      <c r="BI330" s="10">
        <f t="shared" si="175"/>
        <v>0</v>
      </c>
      <c r="BJ330" s="10"/>
      <c r="BK330" s="10">
        <f t="shared" si="176"/>
        <v>0</v>
      </c>
      <c r="BL330" s="10"/>
      <c r="BM330" s="10">
        <f t="shared" si="177"/>
        <v>0</v>
      </c>
      <c r="BN330" s="7"/>
    </row>
    <row r="331" spans="18:66" ht="12.75">
      <c r="R331" s="7"/>
      <c r="S331" s="7"/>
      <c r="T331" s="10">
        <f t="shared" si="178"/>
        <v>8</v>
      </c>
      <c r="U331" s="10" t="str">
        <f>AK309</f>
        <v>Oilflam 200.1</v>
      </c>
      <c r="V331" s="10"/>
      <c r="W331" s="16">
        <f t="shared" si="156"/>
        <v>0</v>
      </c>
      <c r="X331" s="10"/>
      <c r="Y331" s="10">
        <f t="shared" si="157"/>
        <v>237</v>
      </c>
      <c r="Z331" s="10"/>
      <c r="AA331" s="10">
        <f t="shared" si="158"/>
        <v>337</v>
      </c>
      <c r="AB331" s="10"/>
      <c r="AC331" s="10">
        <f t="shared" si="159"/>
        <v>580</v>
      </c>
      <c r="AD331" s="10"/>
      <c r="AE331" s="10">
        <f t="shared" si="160"/>
        <v>930</v>
      </c>
      <c r="AF331" s="10"/>
      <c r="AG331" s="10">
        <f t="shared" si="161"/>
        <v>1395</v>
      </c>
      <c r="AH331" s="10"/>
      <c r="AI331" s="10">
        <f t="shared" si="162"/>
        <v>1650</v>
      </c>
      <c r="AJ331" s="10"/>
      <c r="AK331" s="10">
        <f t="shared" si="163"/>
        <v>2034</v>
      </c>
      <c r="AL331" s="10"/>
      <c r="AM331" s="10">
        <f t="shared" si="164"/>
        <v>3000</v>
      </c>
      <c r="AN331" s="10"/>
      <c r="AO331" s="10">
        <f t="shared" si="165"/>
        <v>3940</v>
      </c>
      <c r="AP331" s="10"/>
      <c r="AQ331" s="10">
        <f t="shared" si="166"/>
        <v>5000</v>
      </c>
      <c r="AR331" s="10"/>
      <c r="AS331" s="10">
        <f t="shared" si="167"/>
        <v>5750</v>
      </c>
      <c r="AT331" s="10"/>
      <c r="AU331" s="10">
        <f t="shared" si="168"/>
        <v>7250</v>
      </c>
      <c r="AV331" s="10"/>
      <c r="AW331" s="10">
        <f t="shared" si="169"/>
        <v>8500</v>
      </c>
      <c r="AX331" s="10"/>
      <c r="AY331" s="10">
        <f t="shared" si="170"/>
        <v>10500</v>
      </c>
      <c r="AZ331" s="10"/>
      <c r="BA331" s="10">
        <f t="shared" si="171"/>
        <v>13100</v>
      </c>
      <c r="BB331" s="10"/>
      <c r="BC331" s="10">
        <f t="shared" si="172"/>
        <v>16800</v>
      </c>
      <c r="BD331" s="10"/>
      <c r="BE331" s="10">
        <f t="shared" si="173"/>
        <v>0</v>
      </c>
      <c r="BF331" s="10"/>
      <c r="BG331" s="10">
        <f t="shared" si="174"/>
        <v>0</v>
      </c>
      <c r="BH331" s="10"/>
      <c r="BI331" s="10">
        <f t="shared" si="175"/>
        <v>0</v>
      </c>
      <c r="BJ331" s="10"/>
      <c r="BK331" s="10">
        <f t="shared" si="176"/>
        <v>0</v>
      </c>
      <c r="BL331" s="10"/>
      <c r="BM331" s="10">
        <f t="shared" si="177"/>
        <v>0</v>
      </c>
      <c r="BN331" s="7"/>
    </row>
    <row r="332" spans="18:66" ht="12.75">
      <c r="R332" s="7"/>
      <c r="S332" s="7"/>
      <c r="T332" s="10">
        <f t="shared" si="178"/>
        <v>9</v>
      </c>
      <c r="U332" s="10" t="str">
        <f>AM309</f>
        <v>Oilflam 300.1</v>
      </c>
      <c r="V332" s="10"/>
      <c r="W332" s="16">
        <f t="shared" si="156"/>
        <v>0</v>
      </c>
      <c r="X332" s="10"/>
      <c r="Y332" s="10">
        <f t="shared" si="157"/>
        <v>237</v>
      </c>
      <c r="Z332" s="10"/>
      <c r="AA332" s="10">
        <f t="shared" si="158"/>
        <v>337</v>
      </c>
      <c r="AB332" s="10"/>
      <c r="AC332" s="10">
        <f t="shared" si="159"/>
        <v>580</v>
      </c>
      <c r="AD332" s="10"/>
      <c r="AE332" s="10">
        <f t="shared" si="160"/>
        <v>930</v>
      </c>
      <c r="AF332" s="10"/>
      <c r="AG332" s="10">
        <f t="shared" si="161"/>
        <v>1395</v>
      </c>
      <c r="AH332" s="10"/>
      <c r="AI332" s="10">
        <f t="shared" si="162"/>
        <v>1650</v>
      </c>
      <c r="AJ332" s="10"/>
      <c r="AK332" s="10">
        <f t="shared" si="163"/>
        <v>2034</v>
      </c>
      <c r="AL332" s="10"/>
      <c r="AM332" s="10">
        <f t="shared" si="164"/>
        <v>3000</v>
      </c>
      <c r="AN332" s="10"/>
      <c r="AO332" s="10">
        <f t="shared" si="165"/>
        <v>3940</v>
      </c>
      <c r="AP332" s="10"/>
      <c r="AQ332" s="10">
        <f t="shared" si="166"/>
        <v>5000</v>
      </c>
      <c r="AR332" s="10"/>
      <c r="AS332" s="10">
        <f t="shared" si="167"/>
        <v>5750</v>
      </c>
      <c r="AT332" s="10"/>
      <c r="AU332" s="10">
        <f t="shared" si="168"/>
        <v>7250</v>
      </c>
      <c r="AV332" s="10"/>
      <c r="AW332" s="10">
        <f t="shared" si="169"/>
        <v>8500</v>
      </c>
      <c r="AX332" s="10"/>
      <c r="AY332" s="10">
        <f t="shared" si="170"/>
        <v>10500</v>
      </c>
      <c r="AZ332" s="10"/>
      <c r="BA332" s="10">
        <f t="shared" si="171"/>
        <v>13100</v>
      </c>
      <c r="BB332" s="10"/>
      <c r="BC332" s="10">
        <f t="shared" si="172"/>
        <v>16800</v>
      </c>
      <c r="BD332" s="10"/>
      <c r="BE332" s="10">
        <f t="shared" si="173"/>
        <v>0</v>
      </c>
      <c r="BF332" s="10"/>
      <c r="BG332" s="10">
        <f t="shared" si="174"/>
        <v>0</v>
      </c>
      <c r="BH332" s="10"/>
      <c r="BI332" s="10">
        <f t="shared" si="175"/>
        <v>0</v>
      </c>
      <c r="BJ332" s="10"/>
      <c r="BK332" s="10">
        <f t="shared" si="176"/>
        <v>0</v>
      </c>
      <c r="BL332" s="10"/>
      <c r="BM332" s="10">
        <f t="shared" si="177"/>
        <v>0</v>
      </c>
      <c r="BN332" s="7"/>
    </row>
    <row r="333" spans="18:66" ht="12.75">
      <c r="R333" s="7"/>
      <c r="S333" s="7"/>
      <c r="T333" s="10">
        <f t="shared" si="178"/>
        <v>10</v>
      </c>
      <c r="U333" s="10" t="str">
        <f>AO309</f>
        <v>oilflam 400.1</v>
      </c>
      <c r="V333" s="10"/>
      <c r="W333" s="16">
        <f t="shared" si="156"/>
        <v>0</v>
      </c>
      <c r="X333" s="10"/>
      <c r="Y333" s="10">
        <f t="shared" si="157"/>
        <v>237</v>
      </c>
      <c r="Z333" s="10"/>
      <c r="AA333" s="10">
        <f t="shared" si="158"/>
        <v>337</v>
      </c>
      <c r="AB333" s="10"/>
      <c r="AC333" s="10">
        <f t="shared" si="159"/>
        <v>580</v>
      </c>
      <c r="AD333" s="10"/>
      <c r="AE333" s="10">
        <f t="shared" si="160"/>
        <v>930</v>
      </c>
      <c r="AF333" s="10"/>
      <c r="AG333" s="10">
        <f t="shared" si="161"/>
        <v>1395</v>
      </c>
      <c r="AH333" s="10"/>
      <c r="AI333" s="10">
        <f t="shared" si="162"/>
        <v>1650</v>
      </c>
      <c r="AJ333" s="10"/>
      <c r="AK333" s="10">
        <f t="shared" si="163"/>
        <v>2034</v>
      </c>
      <c r="AL333" s="10"/>
      <c r="AM333" s="10">
        <f t="shared" si="164"/>
        <v>3000</v>
      </c>
      <c r="AN333" s="10"/>
      <c r="AO333" s="10">
        <f t="shared" si="165"/>
        <v>3940</v>
      </c>
      <c r="AP333" s="10"/>
      <c r="AQ333" s="10">
        <f t="shared" si="166"/>
        <v>5000</v>
      </c>
      <c r="AR333" s="10"/>
      <c r="AS333" s="10">
        <f t="shared" si="167"/>
        <v>5750</v>
      </c>
      <c r="AT333" s="10"/>
      <c r="AU333" s="10">
        <f t="shared" si="168"/>
        <v>7250</v>
      </c>
      <c r="AV333" s="10"/>
      <c r="AW333" s="10">
        <f t="shared" si="169"/>
        <v>8500</v>
      </c>
      <c r="AX333" s="10"/>
      <c r="AY333" s="10">
        <f t="shared" si="170"/>
        <v>10500</v>
      </c>
      <c r="AZ333" s="10"/>
      <c r="BA333" s="10">
        <f t="shared" si="171"/>
        <v>13100</v>
      </c>
      <c r="BB333" s="10"/>
      <c r="BC333" s="10">
        <f t="shared" si="172"/>
        <v>16800</v>
      </c>
      <c r="BD333" s="10"/>
      <c r="BE333" s="10">
        <f t="shared" si="173"/>
        <v>0</v>
      </c>
      <c r="BF333" s="10"/>
      <c r="BG333" s="10">
        <f t="shared" si="174"/>
        <v>0</v>
      </c>
      <c r="BH333" s="10"/>
      <c r="BI333" s="10">
        <f t="shared" si="175"/>
        <v>0</v>
      </c>
      <c r="BJ333" s="10"/>
      <c r="BK333" s="10">
        <f t="shared" si="176"/>
        <v>0</v>
      </c>
      <c r="BL333" s="10"/>
      <c r="BM333" s="10">
        <f t="shared" si="177"/>
        <v>0</v>
      </c>
      <c r="BN333" s="7"/>
    </row>
    <row r="334" spans="18:66" ht="12.75">
      <c r="R334" s="7"/>
      <c r="S334" s="7"/>
      <c r="T334" s="10">
        <f t="shared" si="178"/>
        <v>11</v>
      </c>
      <c r="U334" s="10" t="str">
        <f>AQ309</f>
        <v>Oilflam 500.1</v>
      </c>
      <c r="V334" s="10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</row>
    <row r="335" spans="18:66" ht="12.75">
      <c r="R335" s="7"/>
      <c r="S335" s="7"/>
      <c r="T335" s="10">
        <f t="shared" si="178"/>
        <v>12</v>
      </c>
      <c r="U335" s="10" t="str">
        <f>AS309</f>
        <v>Oilflam 600.1</v>
      </c>
      <c r="V335" s="10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</row>
    <row r="336" spans="18:66" ht="12.75">
      <c r="R336" s="7"/>
      <c r="S336" s="7"/>
      <c r="T336" s="10">
        <f t="shared" si="178"/>
        <v>13</v>
      </c>
      <c r="U336" s="10" t="str">
        <f>AU309</f>
        <v>Oilflam 700.1</v>
      </c>
      <c r="V336" s="10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</row>
    <row r="337" spans="18:66" ht="12.75">
      <c r="R337" s="7"/>
      <c r="S337" s="7"/>
      <c r="T337" s="10">
        <f t="shared" si="178"/>
        <v>14</v>
      </c>
      <c r="U337" s="10" t="str">
        <f>AW309</f>
        <v>Oilflam 800.1</v>
      </c>
      <c r="V337" s="10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</row>
    <row r="338" spans="18:66" ht="12.75">
      <c r="R338" s="7"/>
      <c r="S338" s="7"/>
      <c r="T338" s="10">
        <f t="shared" si="178"/>
        <v>15</v>
      </c>
      <c r="U338" s="10" t="str">
        <f>AY309</f>
        <v>Oilflam 1000.1</v>
      </c>
      <c r="V338" s="10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</row>
    <row r="339" spans="18:66" ht="12.75">
      <c r="R339" s="7"/>
      <c r="S339" s="7"/>
      <c r="T339" s="10">
        <f t="shared" si="178"/>
        <v>16</v>
      </c>
      <c r="U339" s="10" t="str">
        <f>BA309</f>
        <v>Oilflam 1200.1</v>
      </c>
      <c r="V339" s="10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</row>
    <row r="340" spans="18:66" ht="12.75">
      <c r="R340" s="7"/>
      <c r="S340" s="7"/>
      <c r="T340" s="10">
        <f t="shared" si="178"/>
        <v>17</v>
      </c>
      <c r="U340" s="10" t="str">
        <f>BC309</f>
        <v>Oilflam 1500.1</v>
      </c>
      <c r="V340" s="10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</row>
    <row r="341" spans="18:66" ht="12.75">
      <c r="R341" s="7"/>
      <c r="S341" s="7"/>
      <c r="T341" s="10">
        <f t="shared" si="178"/>
        <v>18</v>
      </c>
      <c r="U341" s="10">
        <f>BE309</f>
        <v>0</v>
      </c>
      <c r="V341" s="10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</row>
    <row r="342" spans="18:66" ht="12.75">
      <c r="R342" s="7"/>
      <c r="S342" s="7"/>
      <c r="T342" s="10">
        <f t="shared" si="178"/>
        <v>19</v>
      </c>
      <c r="U342" s="10">
        <f>BG309</f>
        <v>0</v>
      </c>
      <c r="V342" s="10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</row>
    <row r="343" spans="18:66" ht="12.75">
      <c r="R343" s="7"/>
      <c r="S343" s="7"/>
      <c r="T343" s="10">
        <f t="shared" si="178"/>
        <v>20</v>
      </c>
      <c r="U343" s="10">
        <f>BI309</f>
        <v>0</v>
      </c>
      <c r="V343" s="10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</row>
    <row r="344" spans="18:66" ht="12.75">
      <c r="R344" s="7"/>
      <c r="S344" s="7"/>
      <c r="T344" s="10">
        <f t="shared" si="178"/>
        <v>21</v>
      </c>
      <c r="U344" s="10">
        <f>BK309</f>
        <v>0</v>
      </c>
      <c r="V344" s="10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</row>
    <row r="345" spans="19:64" ht="12.75">
      <c r="S345" s="7"/>
      <c r="T345" s="10">
        <f t="shared" si="178"/>
        <v>22</v>
      </c>
      <c r="U345" s="10">
        <f>BM309</f>
        <v>0</v>
      </c>
      <c r="V345" s="10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</row>
    <row r="346" spans="19:64" ht="12.75">
      <c r="S346" s="7"/>
      <c r="T346" s="10"/>
      <c r="U346" s="10"/>
      <c r="V346" s="10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</row>
    <row r="347" spans="19:64" ht="12.75"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</row>
    <row r="348" spans="19:64" ht="12.75"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</row>
    <row r="349" spans="19:64" ht="12.75"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</row>
    <row r="350" spans="19:64" ht="12.75"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</row>
    <row r="351" spans="19:64" ht="12.75"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</row>
    <row r="352" spans="19:64" ht="12.75"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</row>
    <row r="353" spans="19:64" ht="12.75"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</row>
    <row r="354" spans="19:64" ht="12.75"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</row>
    <row r="355" spans="19:64" ht="12.75"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</row>
    <row r="356" spans="19:64" ht="12.75"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</row>
    <row r="357" spans="19:64" ht="12.75"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</row>
    <row r="358" spans="19:64" ht="12.75"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</row>
    <row r="359" spans="19:64" ht="12.75"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</row>
    <row r="360" spans="19:64" ht="12.75"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</row>
    <row r="361" spans="19:64" ht="12.75"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</row>
    <row r="362" spans="19:64" ht="12.75"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</row>
    <row r="363" spans="19:64" ht="12.75"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</row>
    <row r="365" spans="18:66" ht="13.5" thickBot="1"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</row>
    <row r="366" spans="18:66" ht="13.5" thickBot="1">
      <c r="R366" s="7"/>
      <c r="S366" s="7"/>
      <c r="T366" s="7"/>
      <c r="U366" s="7"/>
      <c r="V366" s="7"/>
      <c r="W366" s="220" t="s">
        <v>26</v>
      </c>
      <c r="X366" s="221"/>
      <c r="Y366" s="222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</row>
    <row r="367" spans="18:66" ht="13.5" thickBot="1">
      <c r="R367" s="8" t="b">
        <v>0</v>
      </c>
      <c r="S367" s="7"/>
      <c r="T367" s="7"/>
      <c r="U367" s="7"/>
      <c r="V367" s="7"/>
      <c r="W367" s="7">
        <v>1</v>
      </c>
      <c r="X367" s="7"/>
      <c r="Y367" s="7">
        <v>2</v>
      </c>
      <c r="Z367" s="8"/>
      <c r="AA367" s="7">
        <v>3</v>
      </c>
      <c r="AB367" s="7"/>
      <c r="AC367" s="7">
        <v>4</v>
      </c>
      <c r="AD367" s="7"/>
      <c r="AE367" s="7">
        <v>5</v>
      </c>
      <c r="AF367" s="7"/>
      <c r="AG367" s="7">
        <v>6</v>
      </c>
      <c r="AH367" s="8"/>
      <c r="AI367" s="7">
        <v>7</v>
      </c>
      <c r="AJ367" s="7"/>
      <c r="AK367" s="7">
        <v>8</v>
      </c>
      <c r="AL367" s="7"/>
      <c r="AM367" s="7">
        <v>9</v>
      </c>
      <c r="AN367" s="18"/>
      <c r="AO367" s="7">
        <v>10</v>
      </c>
      <c r="AP367" s="8"/>
      <c r="AQ367" s="7">
        <v>11</v>
      </c>
      <c r="AR367" s="18"/>
      <c r="AS367" s="18">
        <v>12</v>
      </c>
      <c r="AT367" s="18"/>
      <c r="AU367" s="18">
        <v>13</v>
      </c>
      <c r="AV367" s="18"/>
      <c r="AW367" s="7">
        <v>14</v>
      </c>
      <c r="AX367" s="7"/>
      <c r="AY367" s="7">
        <v>15</v>
      </c>
      <c r="AZ367" s="7"/>
      <c r="BA367" s="7">
        <v>16</v>
      </c>
      <c r="BB367" s="7"/>
      <c r="BC367" s="7">
        <v>17</v>
      </c>
      <c r="BD367" s="7"/>
      <c r="BE367" s="7">
        <v>18</v>
      </c>
      <c r="BF367" s="7"/>
      <c r="BG367" s="7">
        <v>18</v>
      </c>
      <c r="BH367" s="7"/>
      <c r="BI367" s="7">
        <v>20</v>
      </c>
      <c r="BJ367" s="7"/>
      <c r="BK367" s="7">
        <v>21</v>
      </c>
      <c r="BL367" s="7"/>
      <c r="BM367" s="7">
        <v>22</v>
      </c>
      <c r="BN367" s="7"/>
    </row>
    <row r="368" spans="18:66" ht="13.5" thickBot="1">
      <c r="R368" s="7"/>
      <c r="S368" s="7"/>
      <c r="T368" s="8">
        <f>IF(R367=FALSE,U364,T369)</f>
        <v>0</v>
      </c>
      <c r="U368" s="201" t="e">
        <f>HLOOKUP(T368,W367:BN392,2)</f>
        <v>#N/A</v>
      </c>
      <c r="V368" s="201"/>
      <c r="W368" s="226" t="s">
        <v>68</v>
      </c>
      <c r="X368" s="225"/>
      <c r="Y368" s="177" t="s">
        <v>69</v>
      </c>
      <c r="Z368" s="227"/>
      <c r="AA368" s="177" t="s">
        <v>27</v>
      </c>
      <c r="AB368" s="177"/>
      <c r="AC368" s="177" t="s">
        <v>28</v>
      </c>
      <c r="AD368" s="177"/>
      <c r="AE368" s="177" t="s">
        <v>29</v>
      </c>
      <c r="AF368" s="226"/>
      <c r="AG368" s="223" t="s">
        <v>30</v>
      </c>
      <c r="AH368" s="224"/>
      <c r="AI368" s="225" t="s">
        <v>31</v>
      </c>
      <c r="AJ368" s="177"/>
      <c r="AK368" s="225" t="s">
        <v>32</v>
      </c>
      <c r="AL368" s="177"/>
      <c r="AM368" s="225" t="s">
        <v>33</v>
      </c>
      <c r="AN368" s="177"/>
      <c r="AO368" s="177" t="s">
        <v>70</v>
      </c>
      <c r="AP368" s="227"/>
      <c r="AQ368" s="177" t="s">
        <v>71</v>
      </c>
      <c r="AR368" s="177"/>
      <c r="AS368" s="177" t="s">
        <v>34</v>
      </c>
      <c r="AT368" s="177"/>
      <c r="AU368" s="177" t="s">
        <v>35</v>
      </c>
      <c r="AV368" s="177"/>
      <c r="AW368" s="177" t="s">
        <v>36</v>
      </c>
      <c r="AX368" s="177"/>
      <c r="AY368" s="177" t="s">
        <v>37</v>
      </c>
      <c r="AZ368" s="177"/>
      <c r="BA368" s="177" t="s">
        <v>38</v>
      </c>
      <c r="BB368" s="177"/>
      <c r="BC368" s="177" t="s">
        <v>39</v>
      </c>
      <c r="BD368" s="177"/>
      <c r="BE368" s="177"/>
      <c r="BF368" s="177"/>
      <c r="BG368" s="177"/>
      <c r="BH368" s="177"/>
      <c r="BI368" s="177"/>
      <c r="BJ368" s="177"/>
      <c r="BK368" s="177"/>
      <c r="BL368" s="177"/>
      <c r="BM368" s="177"/>
      <c r="BN368" s="177"/>
    </row>
    <row r="369" spans="18:66" ht="13.5" thickBot="1">
      <c r="R369" s="7"/>
      <c r="S369" s="7"/>
      <c r="T369" s="7">
        <v>4</v>
      </c>
      <c r="U369" s="9" t="s">
        <v>5</v>
      </c>
      <c r="V369" s="9" t="s">
        <v>6</v>
      </c>
      <c r="W369" s="10" t="s">
        <v>5</v>
      </c>
      <c r="X369" s="10" t="s">
        <v>3</v>
      </c>
      <c r="Y369" s="10" t="s">
        <v>5</v>
      </c>
      <c r="Z369" s="10" t="s">
        <v>3</v>
      </c>
      <c r="AA369" s="10" t="s">
        <v>5</v>
      </c>
      <c r="AB369" s="10" t="s">
        <v>3</v>
      </c>
      <c r="AC369" s="10" t="s">
        <v>5</v>
      </c>
      <c r="AD369" s="10" t="s">
        <v>3</v>
      </c>
      <c r="AE369" s="12" t="s">
        <v>5</v>
      </c>
      <c r="AF369" s="13" t="s">
        <v>3</v>
      </c>
      <c r="AG369" s="14" t="s">
        <v>5</v>
      </c>
      <c r="AH369" s="15" t="s">
        <v>3</v>
      </c>
      <c r="AI369" s="16" t="s">
        <v>5</v>
      </c>
      <c r="AJ369" s="10" t="s">
        <v>3</v>
      </c>
      <c r="AK369" s="10" t="s">
        <v>5</v>
      </c>
      <c r="AL369" s="10" t="s">
        <v>3</v>
      </c>
      <c r="AM369" s="10" t="s">
        <v>5</v>
      </c>
      <c r="AN369" s="10" t="s">
        <v>3</v>
      </c>
      <c r="AO369" s="10" t="s">
        <v>5</v>
      </c>
      <c r="AP369" s="10" t="s">
        <v>3</v>
      </c>
      <c r="AQ369" s="10" t="s">
        <v>5</v>
      </c>
      <c r="AR369" s="10" t="s">
        <v>3</v>
      </c>
      <c r="AS369" s="10" t="s">
        <v>5</v>
      </c>
      <c r="AT369" s="10" t="s">
        <v>3</v>
      </c>
      <c r="AU369" s="10" t="s">
        <v>5</v>
      </c>
      <c r="AV369" s="10" t="s">
        <v>3</v>
      </c>
      <c r="AW369" s="10" t="s">
        <v>5</v>
      </c>
      <c r="AX369" s="10" t="s">
        <v>3</v>
      </c>
      <c r="AY369" s="10" t="s">
        <v>5</v>
      </c>
      <c r="AZ369" s="10" t="s">
        <v>3</v>
      </c>
      <c r="BA369" s="10" t="s">
        <v>5</v>
      </c>
      <c r="BB369" s="10" t="s">
        <v>3</v>
      </c>
      <c r="BC369" s="10" t="s">
        <v>5</v>
      </c>
      <c r="BD369" s="10" t="s">
        <v>3</v>
      </c>
      <c r="BE369" s="10" t="s">
        <v>5</v>
      </c>
      <c r="BF369" s="10" t="s">
        <v>3</v>
      </c>
      <c r="BG369" s="10" t="s">
        <v>5</v>
      </c>
      <c r="BH369" s="10" t="s">
        <v>3</v>
      </c>
      <c r="BI369" s="10" t="s">
        <v>5</v>
      </c>
      <c r="BJ369" s="10" t="s">
        <v>3</v>
      </c>
      <c r="BK369" s="10" t="s">
        <v>5</v>
      </c>
      <c r="BL369" s="10" t="s">
        <v>3</v>
      </c>
      <c r="BM369" s="10" t="s">
        <v>5</v>
      </c>
      <c r="BN369" s="10" t="s">
        <v>3</v>
      </c>
    </row>
    <row r="370" spans="18:66" ht="13.5" thickBot="1">
      <c r="R370" s="7"/>
      <c r="S370" s="7"/>
      <c r="T370" s="7"/>
      <c r="U370" s="11" t="e">
        <f>HLOOKUP($T$192,$W$191:$BN$217,4)</f>
        <v>#N/A</v>
      </c>
      <c r="V370" s="11" t="e">
        <f>HLOOKUP($T$192,$W$191:$BN$217,16)</f>
        <v>#N/A</v>
      </c>
      <c r="W370" s="10"/>
      <c r="X370" s="10"/>
      <c r="Y370" s="30">
        <v>0</v>
      </c>
      <c r="Z370" s="30">
        <v>237</v>
      </c>
      <c r="AA370" s="30">
        <v>0</v>
      </c>
      <c r="AB370" s="30">
        <v>337</v>
      </c>
      <c r="AC370" s="30">
        <v>0</v>
      </c>
      <c r="AD370" s="30">
        <v>580</v>
      </c>
      <c r="AE370" s="30">
        <v>0</v>
      </c>
      <c r="AF370" s="32">
        <v>930</v>
      </c>
      <c r="AG370" s="33">
        <v>0</v>
      </c>
      <c r="AH370" s="34">
        <v>1395</v>
      </c>
      <c r="AI370" s="35">
        <v>0</v>
      </c>
      <c r="AJ370" s="36">
        <v>1650</v>
      </c>
      <c r="AK370" s="31">
        <v>0</v>
      </c>
      <c r="AL370" s="30">
        <v>2034</v>
      </c>
      <c r="AM370" s="30">
        <v>0</v>
      </c>
      <c r="AN370" s="30">
        <v>3000</v>
      </c>
      <c r="AO370" s="30">
        <v>0</v>
      </c>
      <c r="AP370" s="30">
        <v>3940</v>
      </c>
      <c r="AQ370" s="30">
        <v>0</v>
      </c>
      <c r="AR370" s="30">
        <v>5000</v>
      </c>
      <c r="AS370" s="30">
        <v>0</v>
      </c>
      <c r="AT370" s="30">
        <v>5750</v>
      </c>
      <c r="AU370" s="30">
        <v>0</v>
      </c>
      <c r="AV370" s="30">
        <v>7250</v>
      </c>
      <c r="AW370" s="30">
        <v>0</v>
      </c>
      <c r="AX370" s="30">
        <v>8500</v>
      </c>
      <c r="AY370" s="30">
        <v>0</v>
      </c>
      <c r="AZ370" s="30">
        <v>10500</v>
      </c>
      <c r="BA370" s="30">
        <v>0</v>
      </c>
      <c r="BB370" s="30">
        <v>13100</v>
      </c>
      <c r="BC370" s="30">
        <v>0</v>
      </c>
      <c r="BD370" s="30">
        <v>16800</v>
      </c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</row>
    <row r="371" spans="18:66" ht="13.5" thickBot="1">
      <c r="R371" s="7"/>
      <c r="S371" s="7"/>
      <c r="T371" s="7"/>
      <c r="U371" s="11" t="e">
        <f>HLOOKUP($T$192,$W$191:$BN$217,5)</f>
        <v>#N/A</v>
      </c>
      <c r="V371" s="11" t="e">
        <f>HLOOKUP($T$192,$W$191:$BN$217,17)</f>
        <v>#N/A</v>
      </c>
      <c r="W371" s="10"/>
      <c r="X371" s="10"/>
      <c r="Y371" s="30">
        <v>8</v>
      </c>
      <c r="Z371" s="30">
        <v>130</v>
      </c>
      <c r="AA371" s="30">
        <v>8</v>
      </c>
      <c r="AB371" s="30">
        <v>205</v>
      </c>
      <c r="AC371" s="30">
        <v>7.5</v>
      </c>
      <c r="AD371" s="30">
        <v>348</v>
      </c>
      <c r="AE371" s="30">
        <v>8</v>
      </c>
      <c r="AF371" s="32">
        <v>534</v>
      </c>
      <c r="AG371" s="35">
        <v>12</v>
      </c>
      <c r="AH371" s="32">
        <v>930</v>
      </c>
      <c r="AI371" s="35">
        <v>2</v>
      </c>
      <c r="AJ371" s="36">
        <v>1650</v>
      </c>
      <c r="AK371" s="31">
        <v>2</v>
      </c>
      <c r="AL371" s="30">
        <v>2034</v>
      </c>
      <c r="AM371" s="30">
        <v>13</v>
      </c>
      <c r="AN371" s="30">
        <v>2437</v>
      </c>
      <c r="AO371" s="30">
        <v>2.5</v>
      </c>
      <c r="AP371" s="30">
        <v>3870</v>
      </c>
      <c r="AQ371" s="30">
        <v>18</v>
      </c>
      <c r="AR371" s="30">
        <v>3500</v>
      </c>
      <c r="AS371" s="30">
        <v>20</v>
      </c>
      <c r="AT371" s="30">
        <v>4375</v>
      </c>
      <c r="AU371" s="30">
        <v>4</v>
      </c>
      <c r="AV371" s="30">
        <v>7250</v>
      </c>
      <c r="AW371" s="30">
        <v>10</v>
      </c>
      <c r="AX371" s="30">
        <v>8500</v>
      </c>
      <c r="AY371" s="30">
        <v>18</v>
      </c>
      <c r="AZ371" s="30">
        <v>9000</v>
      </c>
      <c r="BA371" s="30">
        <v>24</v>
      </c>
      <c r="BB371" s="30">
        <v>10500</v>
      </c>
      <c r="BC371" s="30">
        <v>30</v>
      </c>
      <c r="BD371" s="30">
        <v>14000</v>
      </c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</row>
    <row r="372" spans="18:66" ht="13.5" thickBot="1">
      <c r="R372" s="7"/>
      <c r="S372" s="7"/>
      <c r="T372" s="7"/>
      <c r="U372" s="11" t="e">
        <f>HLOOKUP($T$192,$W$191:$BN$217,6)</f>
        <v>#N/A</v>
      </c>
      <c r="V372" s="11" t="e">
        <f>HLOOKUP($T$192,$W$191:$BN$217,18)</f>
        <v>#N/A</v>
      </c>
      <c r="W372" s="10"/>
      <c r="X372" s="10"/>
      <c r="Y372" s="30">
        <v>8</v>
      </c>
      <c r="Z372" s="30">
        <v>95</v>
      </c>
      <c r="AA372" s="30">
        <v>8</v>
      </c>
      <c r="AB372" s="30">
        <v>170</v>
      </c>
      <c r="AC372" s="30">
        <v>7.5</v>
      </c>
      <c r="AD372" s="30">
        <v>290</v>
      </c>
      <c r="AE372" s="30">
        <v>8</v>
      </c>
      <c r="AF372" s="32">
        <v>465</v>
      </c>
      <c r="AG372" s="35">
        <v>12</v>
      </c>
      <c r="AH372" s="32">
        <v>800</v>
      </c>
      <c r="AI372" s="35">
        <v>6</v>
      </c>
      <c r="AJ372" s="36">
        <v>1570</v>
      </c>
      <c r="AK372" s="31">
        <v>14</v>
      </c>
      <c r="AL372" s="30">
        <v>1616</v>
      </c>
      <c r="AM372" s="30">
        <v>13</v>
      </c>
      <c r="AN372" s="30">
        <v>1562</v>
      </c>
      <c r="AO372" s="30">
        <v>14</v>
      </c>
      <c r="AP372" s="30">
        <v>3062</v>
      </c>
      <c r="AQ372" s="30">
        <v>18</v>
      </c>
      <c r="AR372" s="30">
        <v>1625</v>
      </c>
      <c r="AS372" s="30">
        <v>20</v>
      </c>
      <c r="AT372" s="30">
        <v>2125</v>
      </c>
      <c r="AU372" s="30">
        <v>22</v>
      </c>
      <c r="AV372" s="30">
        <v>5000</v>
      </c>
      <c r="AW372" s="30">
        <v>14.5</v>
      </c>
      <c r="AX372" s="30">
        <v>7900</v>
      </c>
      <c r="AY372" s="30">
        <v>28</v>
      </c>
      <c r="AZ372" s="30">
        <v>7300</v>
      </c>
      <c r="BA372" s="30">
        <v>34</v>
      </c>
      <c r="BB372" s="30">
        <v>9000</v>
      </c>
      <c r="BC372" s="30">
        <v>36</v>
      </c>
      <c r="BD372" s="30">
        <v>12700</v>
      </c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</row>
    <row r="373" spans="18:66" ht="13.5" thickBot="1">
      <c r="R373" s="7"/>
      <c r="S373" s="7"/>
      <c r="T373" s="7"/>
      <c r="U373" s="11" t="e">
        <f>HLOOKUP($T$192,$W$191:$BN$217,7)</f>
        <v>#N/A</v>
      </c>
      <c r="V373" s="11" t="e">
        <f>HLOOKUP($T$192,$W$191:$BN$217,19)</f>
        <v>#N/A</v>
      </c>
      <c r="W373" s="10"/>
      <c r="X373" s="10"/>
      <c r="Y373" s="30">
        <v>0</v>
      </c>
      <c r="Z373" s="30">
        <v>95</v>
      </c>
      <c r="AA373" s="30">
        <v>0</v>
      </c>
      <c r="AB373" s="30">
        <v>170</v>
      </c>
      <c r="AC373" s="30">
        <v>0</v>
      </c>
      <c r="AD373" s="30">
        <v>290</v>
      </c>
      <c r="AE373" s="30">
        <v>0</v>
      </c>
      <c r="AF373" s="32">
        <v>465</v>
      </c>
      <c r="AG373" s="35">
        <v>0</v>
      </c>
      <c r="AH373" s="32">
        <v>674</v>
      </c>
      <c r="AI373" s="35">
        <v>12</v>
      </c>
      <c r="AJ373" s="36">
        <v>1348</v>
      </c>
      <c r="AK373" s="31">
        <v>14</v>
      </c>
      <c r="AL373" s="30">
        <v>1023</v>
      </c>
      <c r="AM373" s="30">
        <v>8.5</v>
      </c>
      <c r="AN373" s="30">
        <v>1000</v>
      </c>
      <c r="AO373" s="30">
        <v>14</v>
      </c>
      <c r="AP373" s="30">
        <v>2190</v>
      </c>
      <c r="AQ373" s="30">
        <v>16</v>
      </c>
      <c r="AR373" s="30">
        <v>1560</v>
      </c>
      <c r="AS373" s="30">
        <v>16</v>
      </c>
      <c r="AT373" s="30">
        <v>1800</v>
      </c>
      <c r="AU373" s="30">
        <v>22</v>
      </c>
      <c r="AV373" s="30">
        <v>2800</v>
      </c>
      <c r="AW373" s="30">
        <v>24</v>
      </c>
      <c r="AX373" s="30">
        <v>6500</v>
      </c>
      <c r="AY373" s="30">
        <v>28</v>
      </c>
      <c r="AZ373" s="30">
        <v>4900</v>
      </c>
      <c r="BA373" s="30">
        <v>34</v>
      </c>
      <c r="BB373" s="30">
        <v>5300</v>
      </c>
      <c r="BC373" s="30">
        <v>36</v>
      </c>
      <c r="BD373" s="30">
        <v>7000</v>
      </c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</row>
    <row r="374" spans="18:66" ht="13.5" thickBot="1">
      <c r="R374" s="7"/>
      <c r="S374" s="7"/>
      <c r="T374" s="7"/>
      <c r="U374" s="11" t="e">
        <f>HLOOKUP($T$192,$W$191:$BN$217,8)</f>
        <v>#N/A</v>
      </c>
      <c r="V374" s="11" t="e">
        <f>HLOOKUP($T$192,$W$191:$BN$217,20)</f>
        <v>#N/A</v>
      </c>
      <c r="W374" s="10"/>
      <c r="X374" s="10"/>
      <c r="Y374" s="30">
        <v>0</v>
      </c>
      <c r="Z374" s="30">
        <v>237</v>
      </c>
      <c r="AA374" s="30">
        <v>0</v>
      </c>
      <c r="AB374" s="30">
        <v>337</v>
      </c>
      <c r="AC374" s="30">
        <v>0</v>
      </c>
      <c r="AD374" s="30">
        <v>580</v>
      </c>
      <c r="AE374" s="30">
        <v>0</v>
      </c>
      <c r="AF374" s="32">
        <v>930</v>
      </c>
      <c r="AG374" s="35">
        <v>0</v>
      </c>
      <c r="AH374" s="32">
        <v>1395</v>
      </c>
      <c r="AI374" s="35">
        <v>12</v>
      </c>
      <c r="AJ374" s="36">
        <v>813</v>
      </c>
      <c r="AK374" s="31">
        <v>0</v>
      </c>
      <c r="AL374" s="30">
        <v>697</v>
      </c>
      <c r="AM374" s="30">
        <v>0</v>
      </c>
      <c r="AN374" s="30">
        <v>1000</v>
      </c>
      <c r="AO374" s="30">
        <v>12.5</v>
      </c>
      <c r="AP374" s="30">
        <v>1800</v>
      </c>
      <c r="AQ374" s="30">
        <v>0</v>
      </c>
      <c r="AR374" s="30">
        <v>1560</v>
      </c>
      <c r="AS374" s="30">
        <v>0</v>
      </c>
      <c r="AT374" s="30">
        <v>1800</v>
      </c>
      <c r="AU374" s="30">
        <v>16</v>
      </c>
      <c r="AV374" s="30">
        <v>2417</v>
      </c>
      <c r="AW374" s="30">
        <v>24</v>
      </c>
      <c r="AX374" s="30">
        <v>3800</v>
      </c>
      <c r="AY374" s="30">
        <v>17.5</v>
      </c>
      <c r="AZ374" s="30">
        <v>3300</v>
      </c>
      <c r="BA374" s="30">
        <v>27</v>
      </c>
      <c r="BB374" s="30">
        <v>4367</v>
      </c>
      <c r="BC374" s="30">
        <v>30</v>
      </c>
      <c r="BD374" s="30">
        <v>5600</v>
      </c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</row>
    <row r="375" spans="18:66" ht="13.5" thickBot="1">
      <c r="R375" s="7"/>
      <c r="S375" s="7"/>
      <c r="T375" s="7"/>
      <c r="U375" s="11" t="e">
        <f>HLOOKUP($T$192,$W$191:$BN$217,9)</f>
        <v>#N/A</v>
      </c>
      <c r="V375" s="11" t="e">
        <f>HLOOKUP($T$192,$W$191:$BN$217,21)</f>
        <v>#N/A</v>
      </c>
      <c r="W375" s="10"/>
      <c r="X375" s="10"/>
      <c r="Y375" s="30">
        <v>0</v>
      </c>
      <c r="Z375" s="30">
        <v>237</v>
      </c>
      <c r="AA375" s="30">
        <v>0</v>
      </c>
      <c r="AB375" s="30">
        <v>337</v>
      </c>
      <c r="AC375" s="30">
        <v>0</v>
      </c>
      <c r="AD375" s="30">
        <v>580</v>
      </c>
      <c r="AE375" s="30">
        <v>0</v>
      </c>
      <c r="AF375" s="32">
        <v>930</v>
      </c>
      <c r="AG375" s="35">
        <v>0</v>
      </c>
      <c r="AH375" s="32">
        <v>1395</v>
      </c>
      <c r="AI375" s="35">
        <v>0</v>
      </c>
      <c r="AJ375" s="36">
        <v>697</v>
      </c>
      <c r="AK375" s="31">
        <v>0</v>
      </c>
      <c r="AL375" s="30">
        <v>2034</v>
      </c>
      <c r="AM375" s="30">
        <v>0</v>
      </c>
      <c r="AN375" s="30">
        <v>3000</v>
      </c>
      <c r="AO375" s="30">
        <v>0</v>
      </c>
      <c r="AP375" s="30">
        <v>1800</v>
      </c>
      <c r="AQ375" s="30">
        <v>0</v>
      </c>
      <c r="AR375" s="30">
        <v>5000</v>
      </c>
      <c r="AS375" s="30">
        <v>0</v>
      </c>
      <c r="AT375" s="30">
        <v>5750</v>
      </c>
      <c r="AU375" s="30">
        <v>0</v>
      </c>
      <c r="AV375" s="30">
        <v>2417</v>
      </c>
      <c r="AW375" s="30">
        <v>17</v>
      </c>
      <c r="AX375" s="30">
        <v>2750</v>
      </c>
      <c r="AY375" s="30">
        <v>0</v>
      </c>
      <c r="AZ375" s="30">
        <v>3300</v>
      </c>
      <c r="BA375" s="30">
        <v>0</v>
      </c>
      <c r="BB375" s="30">
        <v>4367</v>
      </c>
      <c r="BC375" s="30">
        <v>0</v>
      </c>
      <c r="BD375" s="30">
        <v>5600</v>
      </c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</row>
    <row r="376" spans="18:66" ht="13.5" thickBot="1">
      <c r="R376" s="7"/>
      <c r="S376" s="7"/>
      <c r="T376" s="7"/>
      <c r="U376" s="11" t="e">
        <f>HLOOKUP($T$192,$W$191:$BN$217,10)</f>
        <v>#N/A</v>
      </c>
      <c r="V376" s="11" t="e">
        <f>HLOOKUP($T$192,$W$191:$BN$217,22)</f>
        <v>#N/A</v>
      </c>
      <c r="W376" s="10"/>
      <c r="X376" s="10"/>
      <c r="Y376" s="30">
        <v>0</v>
      </c>
      <c r="Z376" s="30">
        <v>237</v>
      </c>
      <c r="AA376" s="30">
        <v>0</v>
      </c>
      <c r="AB376" s="30">
        <v>337</v>
      </c>
      <c r="AC376" s="30">
        <v>0</v>
      </c>
      <c r="AD376" s="30">
        <v>580</v>
      </c>
      <c r="AE376" s="30">
        <v>0</v>
      </c>
      <c r="AF376" s="32">
        <v>930</v>
      </c>
      <c r="AG376" s="35">
        <v>0</v>
      </c>
      <c r="AH376" s="32">
        <v>1395</v>
      </c>
      <c r="AI376" s="35">
        <v>0</v>
      </c>
      <c r="AJ376" s="36">
        <v>1650</v>
      </c>
      <c r="AK376" s="31">
        <v>0</v>
      </c>
      <c r="AL376" s="30">
        <v>2034</v>
      </c>
      <c r="AM376" s="30">
        <v>0</v>
      </c>
      <c r="AN376" s="30">
        <v>3000</v>
      </c>
      <c r="AO376" s="30">
        <v>0</v>
      </c>
      <c r="AP376" s="30">
        <v>3940</v>
      </c>
      <c r="AQ376" s="30">
        <v>0</v>
      </c>
      <c r="AR376" s="30">
        <v>5000</v>
      </c>
      <c r="AS376" s="30">
        <v>0</v>
      </c>
      <c r="AT376" s="30">
        <v>5750</v>
      </c>
      <c r="AU376" s="30">
        <v>0</v>
      </c>
      <c r="AV376" s="30">
        <v>7250</v>
      </c>
      <c r="AW376" s="30">
        <v>0</v>
      </c>
      <c r="AX376" s="30">
        <v>2750</v>
      </c>
      <c r="AY376" s="30">
        <v>0</v>
      </c>
      <c r="AZ376" s="30">
        <v>10500</v>
      </c>
      <c r="BA376" s="30">
        <v>0</v>
      </c>
      <c r="BB376" s="30">
        <v>13100</v>
      </c>
      <c r="BC376" s="30">
        <v>0</v>
      </c>
      <c r="BD376" s="30">
        <v>16800</v>
      </c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</row>
    <row r="377" spans="18:66" ht="13.5" thickBot="1">
      <c r="R377" s="7"/>
      <c r="S377" s="7"/>
      <c r="T377" s="7"/>
      <c r="U377" s="11" t="e">
        <f>HLOOKUP($T$192,$W$191:$BN$217,11)</f>
        <v>#N/A</v>
      </c>
      <c r="V377" s="11" t="e">
        <f>HLOOKUP($T$192,$W$191:$BN$217,23)</f>
        <v>#N/A</v>
      </c>
      <c r="W377" s="10"/>
      <c r="X377" s="10"/>
      <c r="Y377" s="30">
        <v>0</v>
      </c>
      <c r="Z377" s="30">
        <v>237</v>
      </c>
      <c r="AA377" s="30">
        <v>0</v>
      </c>
      <c r="AB377" s="30">
        <v>337</v>
      </c>
      <c r="AC377" s="30">
        <v>0</v>
      </c>
      <c r="AD377" s="30">
        <v>580</v>
      </c>
      <c r="AE377" s="30">
        <v>0</v>
      </c>
      <c r="AF377" s="32">
        <v>930</v>
      </c>
      <c r="AG377" s="35">
        <v>0</v>
      </c>
      <c r="AH377" s="32">
        <v>1395</v>
      </c>
      <c r="AI377" s="35">
        <v>0</v>
      </c>
      <c r="AJ377" s="36">
        <v>1650</v>
      </c>
      <c r="AK377" s="31">
        <v>0</v>
      </c>
      <c r="AL377" s="30">
        <v>2034</v>
      </c>
      <c r="AM377" s="30">
        <v>0</v>
      </c>
      <c r="AN377" s="30">
        <v>3000</v>
      </c>
      <c r="AO377" s="30">
        <v>0</v>
      </c>
      <c r="AP377" s="30">
        <v>3940</v>
      </c>
      <c r="AQ377" s="30">
        <v>0</v>
      </c>
      <c r="AR377" s="30">
        <v>5000</v>
      </c>
      <c r="AS377" s="30">
        <v>0</v>
      </c>
      <c r="AT377" s="30">
        <v>5750</v>
      </c>
      <c r="AU377" s="30">
        <v>0</v>
      </c>
      <c r="AV377" s="30">
        <v>7250</v>
      </c>
      <c r="AW377" s="30">
        <v>0</v>
      </c>
      <c r="AX377" s="30">
        <v>8500</v>
      </c>
      <c r="AY377" s="30">
        <v>0</v>
      </c>
      <c r="AZ377" s="30">
        <v>10500</v>
      </c>
      <c r="BA377" s="30">
        <v>0</v>
      </c>
      <c r="BB377" s="30">
        <v>13100</v>
      </c>
      <c r="BC377" s="30">
        <v>0</v>
      </c>
      <c r="BD377" s="30">
        <v>16800</v>
      </c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</row>
    <row r="378" spans="18:66" ht="13.5" thickBot="1">
      <c r="R378" s="7"/>
      <c r="S378" s="7"/>
      <c r="T378" s="7"/>
      <c r="U378" s="11" t="e">
        <f>HLOOKUP($T$192,$W$191:$BN$217,12)</f>
        <v>#N/A</v>
      </c>
      <c r="V378" s="11" t="e">
        <f>HLOOKUP($T$192,$W$191:$BN$217,24)</f>
        <v>#N/A</v>
      </c>
      <c r="W378" s="10"/>
      <c r="X378" s="10"/>
      <c r="Y378" s="30">
        <v>0</v>
      </c>
      <c r="Z378" s="30">
        <v>237</v>
      </c>
      <c r="AA378" s="30">
        <v>0</v>
      </c>
      <c r="AB378" s="30">
        <v>337</v>
      </c>
      <c r="AC378" s="30">
        <v>0</v>
      </c>
      <c r="AD378" s="30">
        <v>580</v>
      </c>
      <c r="AE378" s="30">
        <v>0</v>
      </c>
      <c r="AF378" s="32">
        <v>930</v>
      </c>
      <c r="AG378" s="35">
        <v>0</v>
      </c>
      <c r="AH378" s="32">
        <v>1395</v>
      </c>
      <c r="AI378" s="35">
        <v>0</v>
      </c>
      <c r="AJ378" s="36">
        <v>1650</v>
      </c>
      <c r="AK378" s="31">
        <v>0</v>
      </c>
      <c r="AL378" s="30">
        <v>2034</v>
      </c>
      <c r="AM378" s="30">
        <v>0</v>
      </c>
      <c r="AN378" s="30">
        <v>3000</v>
      </c>
      <c r="AO378" s="30">
        <v>0</v>
      </c>
      <c r="AP378" s="30">
        <v>3940</v>
      </c>
      <c r="AQ378" s="30">
        <v>0</v>
      </c>
      <c r="AR378" s="30">
        <v>5000</v>
      </c>
      <c r="AS378" s="30">
        <v>0</v>
      </c>
      <c r="AT378" s="30">
        <v>5750</v>
      </c>
      <c r="AU378" s="30">
        <v>0</v>
      </c>
      <c r="AV378" s="30">
        <v>7250</v>
      </c>
      <c r="AW378" s="30">
        <v>0</v>
      </c>
      <c r="AX378" s="30">
        <v>8500</v>
      </c>
      <c r="AY378" s="30">
        <v>0</v>
      </c>
      <c r="AZ378" s="30">
        <v>10500</v>
      </c>
      <c r="BA378" s="30">
        <v>0</v>
      </c>
      <c r="BB378" s="30">
        <v>13100</v>
      </c>
      <c r="BC378" s="30">
        <v>0</v>
      </c>
      <c r="BD378" s="30">
        <v>16800</v>
      </c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</row>
    <row r="379" spans="18:66" ht="13.5" thickBot="1">
      <c r="R379" s="7"/>
      <c r="S379" s="7"/>
      <c r="T379" s="7"/>
      <c r="U379" s="11" t="e">
        <f>HLOOKUP($T$192,$W$191:$BN$217,13)</f>
        <v>#N/A</v>
      </c>
      <c r="V379" s="11" t="e">
        <f>HLOOKUP($T$192,$W$191:$BN$217,25)</f>
        <v>#N/A</v>
      </c>
      <c r="W379" s="10"/>
      <c r="X379" s="10"/>
      <c r="Y379" s="30">
        <v>0</v>
      </c>
      <c r="Z379" s="30">
        <v>237</v>
      </c>
      <c r="AA379" s="30">
        <v>0</v>
      </c>
      <c r="AB379" s="30">
        <v>337</v>
      </c>
      <c r="AC379" s="30">
        <v>0</v>
      </c>
      <c r="AD379" s="30">
        <v>580</v>
      </c>
      <c r="AE379" s="30">
        <v>0</v>
      </c>
      <c r="AF379" s="32">
        <v>930</v>
      </c>
      <c r="AG379" s="35">
        <v>0</v>
      </c>
      <c r="AH379" s="32">
        <v>1395</v>
      </c>
      <c r="AI379" s="35">
        <v>0</v>
      </c>
      <c r="AJ379" s="36">
        <v>1650</v>
      </c>
      <c r="AK379" s="31">
        <v>0</v>
      </c>
      <c r="AL379" s="30">
        <v>2034</v>
      </c>
      <c r="AM379" s="30">
        <v>0</v>
      </c>
      <c r="AN379" s="30">
        <v>3000</v>
      </c>
      <c r="AO379" s="30">
        <v>0</v>
      </c>
      <c r="AP379" s="30">
        <v>3940</v>
      </c>
      <c r="AQ379" s="30">
        <v>0</v>
      </c>
      <c r="AR379" s="30">
        <v>5000</v>
      </c>
      <c r="AS379" s="30">
        <v>0</v>
      </c>
      <c r="AT379" s="30">
        <v>5750</v>
      </c>
      <c r="AU379" s="30">
        <v>0</v>
      </c>
      <c r="AV379" s="30">
        <v>7250</v>
      </c>
      <c r="AW379" s="30">
        <v>0</v>
      </c>
      <c r="AX379" s="30">
        <v>8500</v>
      </c>
      <c r="AY379" s="30">
        <v>0</v>
      </c>
      <c r="AZ379" s="30">
        <v>10500</v>
      </c>
      <c r="BA379" s="30">
        <v>0</v>
      </c>
      <c r="BB379" s="30">
        <v>13100</v>
      </c>
      <c r="BC379" s="30">
        <v>0</v>
      </c>
      <c r="BD379" s="30">
        <v>16800</v>
      </c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</row>
    <row r="380" spans="18:66" ht="12.75">
      <c r="R380" s="7"/>
      <c r="S380" s="7"/>
      <c r="T380" s="7"/>
      <c r="U380" s="11" t="e">
        <f>HLOOKUP($T$192,$W$191:$BN$217,14)</f>
        <v>#N/A</v>
      </c>
      <c r="V380" s="11" t="e">
        <f>HLOOKUP($T$192,$W$191:$BN$217,26)</f>
        <v>#N/A</v>
      </c>
      <c r="W380" s="10"/>
      <c r="X380" s="10"/>
      <c r="Y380" s="30">
        <v>0</v>
      </c>
      <c r="Z380" s="30">
        <v>237</v>
      </c>
      <c r="AA380" s="30">
        <v>0</v>
      </c>
      <c r="AB380" s="30">
        <v>337</v>
      </c>
      <c r="AC380" s="30">
        <v>0</v>
      </c>
      <c r="AD380" s="30">
        <v>580</v>
      </c>
      <c r="AE380" s="30">
        <v>0</v>
      </c>
      <c r="AF380" s="32">
        <v>930</v>
      </c>
      <c r="AG380" s="35">
        <v>0</v>
      </c>
      <c r="AH380" s="32">
        <v>1395</v>
      </c>
      <c r="AI380" s="35">
        <v>0</v>
      </c>
      <c r="AJ380" s="36">
        <v>1650</v>
      </c>
      <c r="AK380" s="31">
        <v>0</v>
      </c>
      <c r="AL380" s="30">
        <v>2034</v>
      </c>
      <c r="AM380" s="30">
        <v>0</v>
      </c>
      <c r="AN380" s="30">
        <v>3000</v>
      </c>
      <c r="AO380" s="30">
        <v>0</v>
      </c>
      <c r="AP380" s="30">
        <v>3940</v>
      </c>
      <c r="AQ380" s="30">
        <v>0</v>
      </c>
      <c r="AR380" s="30">
        <v>5000</v>
      </c>
      <c r="AS380" s="30">
        <v>0</v>
      </c>
      <c r="AT380" s="30">
        <v>5750</v>
      </c>
      <c r="AU380" s="30">
        <v>0</v>
      </c>
      <c r="AV380" s="30">
        <v>7250</v>
      </c>
      <c r="AW380" s="30">
        <v>0</v>
      </c>
      <c r="AX380" s="30">
        <v>8500</v>
      </c>
      <c r="AY380" s="30">
        <v>0</v>
      </c>
      <c r="AZ380" s="30">
        <v>10500</v>
      </c>
      <c r="BA380" s="30">
        <v>0</v>
      </c>
      <c r="BB380" s="30">
        <v>13100</v>
      </c>
      <c r="BC380" s="30">
        <v>0</v>
      </c>
      <c r="BD380" s="30">
        <v>16800</v>
      </c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</row>
    <row r="381" spans="18:66" ht="12.75">
      <c r="R381" s="7"/>
      <c r="S381" s="7"/>
      <c r="T381" s="7"/>
      <c r="U381" s="7"/>
      <c r="V381" s="7"/>
      <c r="W381" s="10" t="str">
        <f aca="true" t="shared" si="179" ref="W381:W392">X369</f>
        <v>potenza</v>
      </c>
      <c r="X381" s="10"/>
      <c r="Y381" s="10" t="str">
        <f>Z369</f>
        <v>potenza</v>
      </c>
      <c r="Z381" s="10"/>
      <c r="AA381" s="10" t="str">
        <f>AB369</f>
        <v>potenza</v>
      </c>
      <c r="AB381" s="10"/>
      <c r="AC381" s="10" t="str">
        <f>AD369</f>
        <v>potenza</v>
      </c>
      <c r="AD381" s="10"/>
      <c r="AE381" s="17" t="str">
        <f>AF369</f>
        <v>potenza</v>
      </c>
      <c r="AF381" s="17"/>
      <c r="AG381" s="17" t="str">
        <f>AH369</f>
        <v>potenza</v>
      </c>
      <c r="AH381" s="17"/>
      <c r="AI381" s="10" t="str">
        <f>AJ369</f>
        <v>potenza</v>
      </c>
      <c r="AJ381" s="10"/>
      <c r="AK381" s="10" t="str">
        <f>AL369</f>
        <v>potenza</v>
      </c>
      <c r="AL381" s="10"/>
      <c r="AM381" s="10" t="str">
        <f>AN369</f>
        <v>potenza</v>
      </c>
      <c r="AN381" s="10"/>
      <c r="AO381" s="10" t="str">
        <f>AP369</f>
        <v>potenza</v>
      </c>
      <c r="AP381" s="10"/>
      <c r="AQ381" s="10" t="str">
        <f>AR369</f>
        <v>potenza</v>
      </c>
      <c r="AR381" s="10"/>
      <c r="AS381" s="10" t="str">
        <f>AT369</f>
        <v>potenza</v>
      </c>
      <c r="AT381" s="10"/>
      <c r="AU381" s="10" t="str">
        <f>AV369</f>
        <v>potenza</v>
      </c>
      <c r="AV381" s="10"/>
      <c r="AW381" s="10" t="str">
        <f>AX369</f>
        <v>potenza</v>
      </c>
      <c r="AX381" s="10"/>
      <c r="AY381" s="10" t="str">
        <f>AZ369</f>
        <v>potenza</v>
      </c>
      <c r="AZ381" s="10"/>
      <c r="BA381" s="10" t="str">
        <f>BB369</f>
        <v>potenza</v>
      </c>
      <c r="BB381" s="10"/>
      <c r="BC381" s="10" t="str">
        <f>BD369</f>
        <v>potenza</v>
      </c>
      <c r="BD381" s="10"/>
      <c r="BE381" s="10" t="str">
        <f>BF369</f>
        <v>potenza</v>
      </c>
      <c r="BF381" s="10"/>
      <c r="BG381" s="10" t="str">
        <f>BH369</f>
        <v>potenza</v>
      </c>
      <c r="BH381" s="10"/>
      <c r="BI381" s="10" t="str">
        <f>BJ369</f>
        <v>potenza</v>
      </c>
      <c r="BJ381" s="10"/>
      <c r="BK381" s="10" t="str">
        <f>BL369</f>
        <v>potenza</v>
      </c>
      <c r="BL381" s="10"/>
      <c r="BM381" s="10" t="str">
        <f>BN369</f>
        <v>potenza</v>
      </c>
      <c r="BN381" s="7"/>
    </row>
    <row r="382" spans="18:66" ht="12.75">
      <c r="R382" s="7"/>
      <c r="S382" s="7"/>
      <c r="T382" s="7"/>
      <c r="U382" s="7"/>
      <c r="V382" s="7"/>
      <c r="W382" s="10">
        <f t="shared" si="179"/>
        <v>0</v>
      </c>
      <c r="X382" s="10"/>
      <c r="Y382" s="10">
        <f aca="true" t="shared" si="180" ref="Y382:Y392">Z370</f>
        <v>237</v>
      </c>
      <c r="Z382" s="10"/>
      <c r="AA382" s="10">
        <f aca="true" t="shared" si="181" ref="AA382:AA392">AB370</f>
        <v>337</v>
      </c>
      <c r="AB382" s="10"/>
      <c r="AC382" s="10">
        <f aca="true" t="shared" si="182" ref="AC382:AC392">AD370</f>
        <v>580</v>
      </c>
      <c r="AD382" s="10"/>
      <c r="AE382" s="10">
        <f aca="true" t="shared" si="183" ref="AE382:AE392">AF370</f>
        <v>930</v>
      </c>
      <c r="AF382" s="10"/>
      <c r="AG382" s="10">
        <f aca="true" t="shared" si="184" ref="AG382:AG392">AH370</f>
        <v>1395</v>
      </c>
      <c r="AH382" s="10"/>
      <c r="AI382" s="10">
        <f aca="true" t="shared" si="185" ref="AI382:AI392">AJ370</f>
        <v>1650</v>
      </c>
      <c r="AJ382" s="10"/>
      <c r="AK382" s="10">
        <f aca="true" t="shared" si="186" ref="AK382:AK392">AL370</f>
        <v>2034</v>
      </c>
      <c r="AL382" s="10"/>
      <c r="AM382" s="10">
        <f aca="true" t="shared" si="187" ref="AM382:AM392">AN370</f>
        <v>3000</v>
      </c>
      <c r="AN382" s="10"/>
      <c r="AO382" s="10">
        <f aca="true" t="shared" si="188" ref="AO382:AO392">AP370</f>
        <v>3940</v>
      </c>
      <c r="AP382" s="10"/>
      <c r="AQ382" s="10">
        <f aca="true" t="shared" si="189" ref="AQ382:AQ392">AR370</f>
        <v>5000</v>
      </c>
      <c r="AR382" s="10"/>
      <c r="AS382" s="10">
        <f aca="true" t="shared" si="190" ref="AS382:AS392">AT370</f>
        <v>5750</v>
      </c>
      <c r="AT382" s="10"/>
      <c r="AU382" s="10">
        <f aca="true" t="shared" si="191" ref="AU382:AU392">AV370</f>
        <v>7250</v>
      </c>
      <c r="AV382" s="10"/>
      <c r="AW382" s="10">
        <f aca="true" t="shared" si="192" ref="AW382:AW392">AX370</f>
        <v>8500</v>
      </c>
      <c r="AX382" s="10"/>
      <c r="AY382" s="10">
        <f aca="true" t="shared" si="193" ref="AY382:AY392">AZ370</f>
        <v>10500</v>
      </c>
      <c r="AZ382" s="10"/>
      <c r="BA382" s="10">
        <f aca="true" t="shared" si="194" ref="BA382:BA392">BB370</f>
        <v>13100</v>
      </c>
      <c r="BB382" s="10"/>
      <c r="BC382" s="10">
        <f aca="true" t="shared" si="195" ref="BC382:BC392">BD370</f>
        <v>16800</v>
      </c>
      <c r="BD382" s="10"/>
      <c r="BE382" s="10">
        <f aca="true" t="shared" si="196" ref="BE382:BE392">BF370</f>
        <v>0</v>
      </c>
      <c r="BF382" s="10"/>
      <c r="BG382" s="10">
        <f aca="true" t="shared" si="197" ref="BG382:BG392">BH370</f>
        <v>0</v>
      </c>
      <c r="BH382" s="10"/>
      <c r="BI382" s="10">
        <f aca="true" t="shared" si="198" ref="BI382:BI392">BJ370</f>
        <v>0</v>
      </c>
      <c r="BJ382" s="10"/>
      <c r="BK382" s="10">
        <f aca="true" t="shared" si="199" ref="BK382:BK392">BL370</f>
        <v>0</v>
      </c>
      <c r="BL382" s="10"/>
      <c r="BM382" s="10">
        <f aca="true" t="shared" si="200" ref="BM382:BM392">BN370</f>
        <v>0</v>
      </c>
      <c r="BN382" s="7"/>
    </row>
    <row r="383" spans="18:66" ht="12.75">
      <c r="R383" s="7"/>
      <c r="S383" s="7"/>
      <c r="T383" s="10">
        <v>1</v>
      </c>
      <c r="U383" s="10" t="str">
        <f>W368</f>
        <v>Oilflam15.1</v>
      </c>
      <c r="V383" s="10"/>
      <c r="W383" s="16">
        <f t="shared" si="179"/>
        <v>0</v>
      </c>
      <c r="X383" s="10"/>
      <c r="Y383" s="10">
        <f t="shared" si="180"/>
        <v>130</v>
      </c>
      <c r="Z383" s="10"/>
      <c r="AA383" s="10">
        <f t="shared" si="181"/>
        <v>205</v>
      </c>
      <c r="AB383" s="10"/>
      <c r="AC383" s="10">
        <f t="shared" si="182"/>
        <v>348</v>
      </c>
      <c r="AD383" s="10"/>
      <c r="AE383" s="10">
        <f t="shared" si="183"/>
        <v>534</v>
      </c>
      <c r="AF383" s="10"/>
      <c r="AG383" s="10">
        <f t="shared" si="184"/>
        <v>930</v>
      </c>
      <c r="AH383" s="10"/>
      <c r="AI383" s="10">
        <f t="shared" si="185"/>
        <v>1650</v>
      </c>
      <c r="AJ383" s="10"/>
      <c r="AK383" s="10">
        <f t="shared" si="186"/>
        <v>2034</v>
      </c>
      <c r="AL383" s="10"/>
      <c r="AM383" s="10">
        <f t="shared" si="187"/>
        <v>2437</v>
      </c>
      <c r="AN383" s="10"/>
      <c r="AO383" s="10">
        <f t="shared" si="188"/>
        <v>3870</v>
      </c>
      <c r="AP383" s="10"/>
      <c r="AQ383" s="10">
        <f t="shared" si="189"/>
        <v>3500</v>
      </c>
      <c r="AR383" s="10"/>
      <c r="AS383" s="10">
        <f t="shared" si="190"/>
        <v>4375</v>
      </c>
      <c r="AT383" s="10"/>
      <c r="AU383" s="10">
        <f t="shared" si="191"/>
        <v>7250</v>
      </c>
      <c r="AV383" s="10"/>
      <c r="AW383" s="10">
        <f t="shared" si="192"/>
        <v>8500</v>
      </c>
      <c r="AX383" s="10"/>
      <c r="AY383" s="10">
        <f t="shared" si="193"/>
        <v>9000</v>
      </c>
      <c r="AZ383" s="10"/>
      <c r="BA383" s="10">
        <f t="shared" si="194"/>
        <v>10500</v>
      </c>
      <c r="BB383" s="10"/>
      <c r="BC383" s="10">
        <f t="shared" si="195"/>
        <v>14000</v>
      </c>
      <c r="BD383" s="10"/>
      <c r="BE383" s="10">
        <f t="shared" si="196"/>
        <v>0</v>
      </c>
      <c r="BF383" s="10"/>
      <c r="BG383" s="10">
        <f t="shared" si="197"/>
        <v>0</v>
      </c>
      <c r="BH383" s="10"/>
      <c r="BI383" s="10">
        <f t="shared" si="198"/>
        <v>0</v>
      </c>
      <c r="BJ383" s="10"/>
      <c r="BK383" s="10">
        <f t="shared" si="199"/>
        <v>0</v>
      </c>
      <c r="BL383" s="10"/>
      <c r="BM383" s="10">
        <f t="shared" si="200"/>
        <v>0</v>
      </c>
      <c r="BN383" s="7"/>
    </row>
    <row r="384" spans="18:66" ht="12.75">
      <c r="R384" s="7"/>
      <c r="S384" s="7"/>
      <c r="T384" s="10">
        <f>T383+1</f>
        <v>2</v>
      </c>
      <c r="U384" s="10" t="str">
        <f>Y368</f>
        <v>Oilflam 20.1</v>
      </c>
      <c r="V384" s="10"/>
      <c r="W384" s="16">
        <f t="shared" si="179"/>
        <v>0</v>
      </c>
      <c r="X384" s="10"/>
      <c r="Y384" s="10">
        <f t="shared" si="180"/>
        <v>95</v>
      </c>
      <c r="Z384" s="10"/>
      <c r="AA384" s="10">
        <f t="shared" si="181"/>
        <v>170</v>
      </c>
      <c r="AB384" s="10"/>
      <c r="AC384" s="10">
        <f t="shared" si="182"/>
        <v>290</v>
      </c>
      <c r="AD384" s="10"/>
      <c r="AE384" s="10">
        <f t="shared" si="183"/>
        <v>465</v>
      </c>
      <c r="AF384" s="10"/>
      <c r="AG384" s="10">
        <f t="shared" si="184"/>
        <v>800</v>
      </c>
      <c r="AH384" s="10"/>
      <c r="AI384" s="10">
        <f t="shared" si="185"/>
        <v>1570</v>
      </c>
      <c r="AJ384" s="10"/>
      <c r="AK384" s="10">
        <f t="shared" si="186"/>
        <v>1616</v>
      </c>
      <c r="AL384" s="10"/>
      <c r="AM384" s="10">
        <f t="shared" si="187"/>
        <v>1562</v>
      </c>
      <c r="AN384" s="10"/>
      <c r="AO384" s="10">
        <f t="shared" si="188"/>
        <v>3062</v>
      </c>
      <c r="AP384" s="10"/>
      <c r="AQ384" s="10">
        <f t="shared" si="189"/>
        <v>1625</v>
      </c>
      <c r="AR384" s="10"/>
      <c r="AS384" s="10">
        <f t="shared" si="190"/>
        <v>2125</v>
      </c>
      <c r="AT384" s="10"/>
      <c r="AU384" s="10">
        <f t="shared" si="191"/>
        <v>5000</v>
      </c>
      <c r="AV384" s="10"/>
      <c r="AW384" s="10">
        <f t="shared" si="192"/>
        <v>7900</v>
      </c>
      <c r="AX384" s="10"/>
      <c r="AY384" s="10">
        <f t="shared" si="193"/>
        <v>7300</v>
      </c>
      <c r="AZ384" s="10"/>
      <c r="BA384" s="10">
        <f t="shared" si="194"/>
        <v>9000</v>
      </c>
      <c r="BB384" s="10"/>
      <c r="BC384" s="10">
        <f t="shared" si="195"/>
        <v>12700</v>
      </c>
      <c r="BD384" s="10"/>
      <c r="BE384" s="10">
        <f t="shared" si="196"/>
        <v>0</v>
      </c>
      <c r="BF384" s="10"/>
      <c r="BG384" s="10">
        <f t="shared" si="197"/>
        <v>0</v>
      </c>
      <c r="BH384" s="10"/>
      <c r="BI384" s="10">
        <f t="shared" si="198"/>
        <v>0</v>
      </c>
      <c r="BJ384" s="10"/>
      <c r="BK384" s="10">
        <f t="shared" si="199"/>
        <v>0</v>
      </c>
      <c r="BL384" s="10"/>
      <c r="BM384" s="10">
        <f t="shared" si="200"/>
        <v>0</v>
      </c>
      <c r="BN384" s="7"/>
    </row>
    <row r="385" spans="18:66" ht="12.75">
      <c r="R385" s="7"/>
      <c r="S385" s="7"/>
      <c r="T385" s="10">
        <f aca="true" t="shared" si="201" ref="T385:T404">T384+1</f>
        <v>3</v>
      </c>
      <c r="U385" s="10" t="str">
        <f>AA368</f>
        <v>Oilflam 30.1</v>
      </c>
      <c r="V385" s="10"/>
      <c r="W385" s="16">
        <f t="shared" si="179"/>
        <v>0</v>
      </c>
      <c r="X385" s="10"/>
      <c r="Y385" s="10">
        <f t="shared" si="180"/>
        <v>95</v>
      </c>
      <c r="Z385" s="10"/>
      <c r="AA385" s="10">
        <f t="shared" si="181"/>
        <v>170</v>
      </c>
      <c r="AB385" s="10"/>
      <c r="AC385" s="10">
        <f t="shared" si="182"/>
        <v>290</v>
      </c>
      <c r="AD385" s="10"/>
      <c r="AE385" s="10">
        <f t="shared" si="183"/>
        <v>465</v>
      </c>
      <c r="AF385" s="10"/>
      <c r="AG385" s="10">
        <f t="shared" si="184"/>
        <v>674</v>
      </c>
      <c r="AH385" s="10"/>
      <c r="AI385" s="10">
        <f t="shared" si="185"/>
        <v>1348</v>
      </c>
      <c r="AJ385" s="10"/>
      <c r="AK385" s="10">
        <f t="shared" si="186"/>
        <v>1023</v>
      </c>
      <c r="AL385" s="10"/>
      <c r="AM385" s="10">
        <f t="shared" si="187"/>
        <v>1000</v>
      </c>
      <c r="AN385" s="10"/>
      <c r="AO385" s="10">
        <f t="shared" si="188"/>
        <v>2190</v>
      </c>
      <c r="AP385" s="10"/>
      <c r="AQ385" s="10">
        <f t="shared" si="189"/>
        <v>1560</v>
      </c>
      <c r="AR385" s="10"/>
      <c r="AS385" s="10">
        <f t="shared" si="190"/>
        <v>1800</v>
      </c>
      <c r="AT385" s="10"/>
      <c r="AU385" s="10">
        <f t="shared" si="191"/>
        <v>2800</v>
      </c>
      <c r="AV385" s="10"/>
      <c r="AW385" s="10">
        <f t="shared" si="192"/>
        <v>6500</v>
      </c>
      <c r="AX385" s="10"/>
      <c r="AY385" s="10">
        <f t="shared" si="193"/>
        <v>4900</v>
      </c>
      <c r="AZ385" s="10"/>
      <c r="BA385" s="10">
        <f t="shared" si="194"/>
        <v>5300</v>
      </c>
      <c r="BB385" s="10"/>
      <c r="BC385" s="10">
        <f t="shared" si="195"/>
        <v>7000</v>
      </c>
      <c r="BD385" s="10"/>
      <c r="BE385" s="10">
        <f t="shared" si="196"/>
        <v>0</v>
      </c>
      <c r="BF385" s="10"/>
      <c r="BG385" s="10">
        <f t="shared" si="197"/>
        <v>0</v>
      </c>
      <c r="BH385" s="10"/>
      <c r="BI385" s="10">
        <f t="shared" si="198"/>
        <v>0</v>
      </c>
      <c r="BJ385" s="10"/>
      <c r="BK385" s="10">
        <f t="shared" si="199"/>
        <v>0</v>
      </c>
      <c r="BL385" s="10"/>
      <c r="BM385" s="10">
        <f t="shared" si="200"/>
        <v>0</v>
      </c>
      <c r="BN385" s="7"/>
    </row>
    <row r="386" spans="18:66" ht="12.75">
      <c r="R386" s="7"/>
      <c r="S386" s="7"/>
      <c r="T386" s="10">
        <f t="shared" si="201"/>
        <v>4</v>
      </c>
      <c r="U386" s="10" t="str">
        <f>AC368</f>
        <v>Oilflam 50.1</v>
      </c>
      <c r="V386" s="10"/>
      <c r="W386" s="16">
        <f t="shared" si="179"/>
        <v>0</v>
      </c>
      <c r="X386" s="10"/>
      <c r="Y386" s="10">
        <f t="shared" si="180"/>
        <v>237</v>
      </c>
      <c r="Z386" s="10"/>
      <c r="AA386" s="10">
        <f t="shared" si="181"/>
        <v>337</v>
      </c>
      <c r="AB386" s="10"/>
      <c r="AC386" s="10">
        <f t="shared" si="182"/>
        <v>580</v>
      </c>
      <c r="AD386" s="10"/>
      <c r="AE386" s="10">
        <f t="shared" si="183"/>
        <v>930</v>
      </c>
      <c r="AF386" s="10"/>
      <c r="AG386" s="10">
        <f t="shared" si="184"/>
        <v>1395</v>
      </c>
      <c r="AH386" s="10"/>
      <c r="AI386" s="10">
        <f t="shared" si="185"/>
        <v>813</v>
      </c>
      <c r="AJ386" s="10"/>
      <c r="AK386" s="10">
        <f t="shared" si="186"/>
        <v>697</v>
      </c>
      <c r="AL386" s="10"/>
      <c r="AM386" s="10">
        <f t="shared" si="187"/>
        <v>1000</v>
      </c>
      <c r="AN386" s="10"/>
      <c r="AO386" s="10">
        <f t="shared" si="188"/>
        <v>1800</v>
      </c>
      <c r="AP386" s="10"/>
      <c r="AQ386" s="10">
        <f t="shared" si="189"/>
        <v>1560</v>
      </c>
      <c r="AR386" s="10"/>
      <c r="AS386" s="10">
        <f t="shared" si="190"/>
        <v>1800</v>
      </c>
      <c r="AT386" s="10"/>
      <c r="AU386" s="10">
        <f t="shared" si="191"/>
        <v>2417</v>
      </c>
      <c r="AV386" s="10"/>
      <c r="AW386" s="10">
        <f t="shared" si="192"/>
        <v>3800</v>
      </c>
      <c r="AX386" s="10"/>
      <c r="AY386" s="10">
        <f t="shared" si="193"/>
        <v>3300</v>
      </c>
      <c r="AZ386" s="10"/>
      <c r="BA386" s="10">
        <f t="shared" si="194"/>
        <v>4367</v>
      </c>
      <c r="BB386" s="10"/>
      <c r="BC386" s="10">
        <f t="shared" si="195"/>
        <v>5600</v>
      </c>
      <c r="BD386" s="10"/>
      <c r="BE386" s="10">
        <f t="shared" si="196"/>
        <v>0</v>
      </c>
      <c r="BF386" s="10"/>
      <c r="BG386" s="10">
        <f t="shared" si="197"/>
        <v>0</v>
      </c>
      <c r="BH386" s="10"/>
      <c r="BI386" s="10">
        <f t="shared" si="198"/>
        <v>0</v>
      </c>
      <c r="BJ386" s="10"/>
      <c r="BK386" s="10">
        <f t="shared" si="199"/>
        <v>0</v>
      </c>
      <c r="BL386" s="10"/>
      <c r="BM386" s="10">
        <f t="shared" si="200"/>
        <v>0</v>
      </c>
      <c r="BN386" s="7"/>
    </row>
    <row r="387" spans="18:66" ht="12.75">
      <c r="R387" s="7"/>
      <c r="S387" s="7"/>
      <c r="T387" s="10">
        <f t="shared" si="201"/>
        <v>5</v>
      </c>
      <c r="U387" s="10" t="str">
        <f>AE368</f>
        <v>Oilflam 80.1</v>
      </c>
      <c r="V387" s="10"/>
      <c r="W387" s="16">
        <f t="shared" si="179"/>
        <v>0</v>
      </c>
      <c r="X387" s="10"/>
      <c r="Y387" s="10">
        <f t="shared" si="180"/>
        <v>237</v>
      </c>
      <c r="Z387" s="10"/>
      <c r="AA387" s="10">
        <f t="shared" si="181"/>
        <v>337</v>
      </c>
      <c r="AB387" s="10"/>
      <c r="AC387" s="10">
        <f t="shared" si="182"/>
        <v>580</v>
      </c>
      <c r="AD387" s="10"/>
      <c r="AE387" s="10">
        <f t="shared" si="183"/>
        <v>930</v>
      </c>
      <c r="AF387" s="10"/>
      <c r="AG387" s="10">
        <f t="shared" si="184"/>
        <v>1395</v>
      </c>
      <c r="AH387" s="10"/>
      <c r="AI387" s="10">
        <f t="shared" si="185"/>
        <v>697</v>
      </c>
      <c r="AJ387" s="10"/>
      <c r="AK387" s="10">
        <f t="shared" si="186"/>
        <v>2034</v>
      </c>
      <c r="AL387" s="10"/>
      <c r="AM387" s="10">
        <f t="shared" si="187"/>
        <v>3000</v>
      </c>
      <c r="AN387" s="10"/>
      <c r="AO387" s="10">
        <f t="shared" si="188"/>
        <v>1800</v>
      </c>
      <c r="AP387" s="10"/>
      <c r="AQ387" s="10">
        <f t="shared" si="189"/>
        <v>5000</v>
      </c>
      <c r="AR387" s="10"/>
      <c r="AS387" s="10">
        <f t="shared" si="190"/>
        <v>5750</v>
      </c>
      <c r="AT387" s="10"/>
      <c r="AU387" s="10">
        <f t="shared" si="191"/>
        <v>2417</v>
      </c>
      <c r="AV387" s="10"/>
      <c r="AW387" s="10">
        <f t="shared" si="192"/>
        <v>2750</v>
      </c>
      <c r="AX387" s="10"/>
      <c r="AY387" s="10">
        <f t="shared" si="193"/>
        <v>3300</v>
      </c>
      <c r="AZ387" s="10"/>
      <c r="BA387" s="10">
        <f t="shared" si="194"/>
        <v>4367</v>
      </c>
      <c r="BB387" s="10"/>
      <c r="BC387" s="10">
        <f t="shared" si="195"/>
        <v>5600</v>
      </c>
      <c r="BD387" s="10"/>
      <c r="BE387" s="10">
        <f t="shared" si="196"/>
        <v>0</v>
      </c>
      <c r="BF387" s="10"/>
      <c r="BG387" s="10">
        <f t="shared" si="197"/>
        <v>0</v>
      </c>
      <c r="BH387" s="10"/>
      <c r="BI387" s="10">
        <f t="shared" si="198"/>
        <v>0</v>
      </c>
      <c r="BJ387" s="10"/>
      <c r="BK387" s="10">
        <f t="shared" si="199"/>
        <v>0</v>
      </c>
      <c r="BL387" s="10"/>
      <c r="BM387" s="10">
        <f t="shared" si="200"/>
        <v>0</v>
      </c>
      <c r="BN387" s="7"/>
    </row>
    <row r="388" spans="18:66" ht="12.75">
      <c r="R388" s="7"/>
      <c r="S388" s="7"/>
      <c r="T388" s="10">
        <f t="shared" si="201"/>
        <v>6</v>
      </c>
      <c r="U388" s="10" t="str">
        <f>AG368</f>
        <v>Oilflam 120.1</v>
      </c>
      <c r="V388" s="10"/>
      <c r="W388" s="16">
        <f t="shared" si="179"/>
        <v>0</v>
      </c>
      <c r="X388" s="10"/>
      <c r="Y388" s="10">
        <f t="shared" si="180"/>
        <v>237</v>
      </c>
      <c r="Z388" s="10"/>
      <c r="AA388" s="10">
        <f t="shared" si="181"/>
        <v>337</v>
      </c>
      <c r="AB388" s="10"/>
      <c r="AC388" s="10">
        <f t="shared" si="182"/>
        <v>580</v>
      </c>
      <c r="AD388" s="10"/>
      <c r="AE388" s="10">
        <f t="shared" si="183"/>
        <v>930</v>
      </c>
      <c r="AF388" s="10"/>
      <c r="AG388" s="10">
        <f t="shared" si="184"/>
        <v>1395</v>
      </c>
      <c r="AH388" s="10"/>
      <c r="AI388" s="10">
        <f t="shared" si="185"/>
        <v>1650</v>
      </c>
      <c r="AJ388" s="10"/>
      <c r="AK388" s="10">
        <f t="shared" si="186"/>
        <v>2034</v>
      </c>
      <c r="AL388" s="10"/>
      <c r="AM388" s="10">
        <f t="shared" si="187"/>
        <v>3000</v>
      </c>
      <c r="AN388" s="10"/>
      <c r="AO388" s="10">
        <f t="shared" si="188"/>
        <v>3940</v>
      </c>
      <c r="AP388" s="10"/>
      <c r="AQ388" s="10">
        <f t="shared" si="189"/>
        <v>5000</v>
      </c>
      <c r="AR388" s="10"/>
      <c r="AS388" s="10">
        <f t="shared" si="190"/>
        <v>5750</v>
      </c>
      <c r="AT388" s="10"/>
      <c r="AU388" s="10">
        <f t="shared" si="191"/>
        <v>7250</v>
      </c>
      <c r="AV388" s="10"/>
      <c r="AW388" s="10">
        <f t="shared" si="192"/>
        <v>2750</v>
      </c>
      <c r="AX388" s="10"/>
      <c r="AY388" s="10">
        <f t="shared" si="193"/>
        <v>10500</v>
      </c>
      <c r="AZ388" s="10"/>
      <c r="BA388" s="10">
        <f t="shared" si="194"/>
        <v>13100</v>
      </c>
      <c r="BB388" s="10"/>
      <c r="BC388" s="10">
        <f t="shared" si="195"/>
        <v>16800</v>
      </c>
      <c r="BD388" s="10"/>
      <c r="BE388" s="10">
        <f t="shared" si="196"/>
        <v>0</v>
      </c>
      <c r="BF388" s="10"/>
      <c r="BG388" s="10">
        <f t="shared" si="197"/>
        <v>0</v>
      </c>
      <c r="BH388" s="10"/>
      <c r="BI388" s="10">
        <f t="shared" si="198"/>
        <v>0</v>
      </c>
      <c r="BJ388" s="10"/>
      <c r="BK388" s="10">
        <f t="shared" si="199"/>
        <v>0</v>
      </c>
      <c r="BL388" s="10"/>
      <c r="BM388" s="10">
        <f t="shared" si="200"/>
        <v>0</v>
      </c>
      <c r="BN388" s="7"/>
    </row>
    <row r="389" spans="18:66" ht="12.75">
      <c r="R389" s="7"/>
      <c r="S389" s="7"/>
      <c r="T389" s="10">
        <f t="shared" si="201"/>
        <v>7</v>
      </c>
      <c r="U389" s="10" t="str">
        <f>AI368</f>
        <v>Oilflam 170.1</v>
      </c>
      <c r="V389" s="10"/>
      <c r="W389" s="16">
        <f t="shared" si="179"/>
        <v>0</v>
      </c>
      <c r="X389" s="10"/>
      <c r="Y389" s="10">
        <f t="shared" si="180"/>
        <v>237</v>
      </c>
      <c r="Z389" s="10"/>
      <c r="AA389" s="10">
        <f t="shared" si="181"/>
        <v>337</v>
      </c>
      <c r="AB389" s="10"/>
      <c r="AC389" s="10">
        <f t="shared" si="182"/>
        <v>580</v>
      </c>
      <c r="AD389" s="10"/>
      <c r="AE389" s="10">
        <f t="shared" si="183"/>
        <v>930</v>
      </c>
      <c r="AF389" s="10"/>
      <c r="AG389" s="10">
        <f t="shared" si="184"/>
        <v>1395</v>
      </c>
      <c r="AH389" s="10"/>
      <c r="AI389" s="10">
        <f t="shared" si="185"/>
        <v>1650</v>
      </c>
      <c r="AJ389" s="10"/>
      <c r="AK389" s="10">
        <f t="shared" si="186"/>
        <v>2034</v>
      </c>
      <c r="AL389" s="10"/>
      <c r="AM389" s="10">
        <f t="shared" si="187"/>
        <v>3000</v>
      </c>
      <c r="AN389" s="10"/>
      <c r="AO389" s="10">
        <f t="shared" si="188"/>
        <v>3940</v>
      </c>
      <c r="AP389" s="10"/>
      <c r="AQ389" s="10">
        <f t="shared" si="189"/>
        <v>5000</v>
      </c>
      <c r="AR389" s="10"/>
      <c r="AS389" s="10">
        <f t="shared" si="190"/>
        <v>5750</v>
      </c>
      <c r="AT389" s="10"/>
      <c r="AU389" s="10">
        <f t="shared" si="191"/>
        <v>7250</v>
      </c>
      <c r="AV389" s="10"/>
      <c r="AW389" s="10">
        <f t="shared" si="192"/>
        <v>8500</v>
      </c>
      <c r="AX389" s="10"/>
      <c r="AY389" s="10">
        <f t="shared" si="193"/>
        <v>10500</v>
      </c>
      <c r="AZ389" s="10"/>
      <c r="BA389" s="10">
        <f t="shared" si="194"/>
        <v>13100</v>
      </c>
      <c r="BB389" s="10"/>
      <c r="BC389" s="10">
        <f t="shared" si="195"/>
        <v>16800</v>
      </c>
      <c r="BD389" s="10"/>
      <c r="BE389" s="10">
        <f t="shared" si="196"/>
        <v>0</v>
      </c>
      <c r="BF389" s="10"/>
      <c r="BG389" s="10">
        <f t="shared" si="197"/>
        <v>0</v>
      </c>
      <c r="BH389" s="10"/>
      <c r="BI389" s="10">
        <f t="shared" si="198"/>
        <v>0</v>
      </c>
      <c r="BJ389" s="10"/>
      <c r="BK389" s="10">
        <f t="shared" si="199"/>
        <v>0</v>
      </c>
      <c r="BL389" s="10"/>
      <c r="BM389" s="10">
        <f t="shared" si="200"/>
        <v>0</v>
      </c>
      <c r="BN389" s="7"/>
    </row>
    <row r="390" spans="18:66" ht="12.75">
      <c r="R390" s="7"/>
      <c r="S390" s="7"/>
      <c r="T390" s="10">
        <f t="shared" si="201"/>
        <v>8</v>
      </c>
      <c r="U390" s="10" t="str">
        <f>AK368</f>
        <v>Oilflam 200.1</v>
      </c>
      <c r="V390" s="10"/>
      <c r="W390" s="16">
        <f t="shared" si="179"/>
        <v>0</v>
      </c>
      <c r="X390" s="10"/>
      <c r="Y390" s="10">
        <f t="shared" si="180"/>
        <v>237</v>
      </c>
      <c r="Z390" s="10"/>
      <c r="AA390" s="10">
        <f t="shared" si="181"/>
        <v>337</v>
      </c>
      <c r="AB390" s="10"/>
      <c r="AC390" s="10">
        <f t="shared" si="182"/>
        <v>580</v>
      </c>
      <c r="AD390" s="10"/>
      <c r="AE390" s="10">
        <f t="shared" si="183"/>
        <v>930</v>
      </c>
      <c r="AF390" s="10"/>
      <c r="AG390" s="10">
        <f t="shared" si="184"/>
        <v>1395</v>
      </c>
      <c r="AH390" s="10"/>
      <c r="AI390" s="10">
        <f t="shared" si="185"/>
        <v>1650</v>
      </c>
      <c r="AJ390" s="10"/>
      <c r="AK390" s="10">
        <f t="shared" si="186"/>
        <v>2034</v>
      </c>
      <c r="AL390" s="10"/>
      <c r="AM390" s="10">
        <f t="shared" si="187"/>
        <v>3000</v>
      </c>
      <c r="AN390" s="10"/>
      <c r="AO390" s="10">
        <f t="shared" si="188"/>
        <v>3940</v>
      </c>
      <c r="AP390" s="10"/>
      <c r="AQ390" s="10">
        <f t="shared" si="189"/>
        <v>5000</v>
      </c>
      <c r="AR390" s="10"/>
      <c r="AS390" s="10">
        <f t="shared" si="190"/>
        <v>5750</v>
      </c>
      <c r="AT390" s="10"/>
      <c r="AU390" s="10">
        <f t="shared" si="191"/>
        <v>7250</v>
      </c>
      <c r="AV390" s="10"/>
      <c r="AW390" s="10">
        <f t="shared" si="192"/>
        <v>8500</v>
      </c>
      <c r="AX390" s="10"/>
      <c r="AY390" s="10">
        <f t="shared" si="193"/>
        <v>10500</v>
      </c>
      <c r="AZ390" s="10"/>
      <c r="BA390" s="10">
        <f t="shared" si="194"/>
        <v>13100</v>
      </c>
      <c r="BB390" s="10"/>
      <c r="BC390" s="10">
        <f t="shared" si="195"/>
        <v>16800</v>
      </c>
      <c r="BD390" s="10"/>
      <c r="BE390" s="10">
        <f t="shared" si="196"/>
        <v>0</v>
      </c>
      <c r="BF390" s="10"/>
      <c r="BG390" s="10">
        <f t="shared" si="197"/>
        <v>0</v>
      </c>
      <c r="BH390" s="10"/>
      <c r="BI390" s="10">
        <f t="shared" si="198"/>
        <v>0</v>
      </c>
      <c r="BJ390" s="10"/>
      <c r="BK390" s="10">
        <f t="shared" si="199"/>
        <v>0</v>
      </c>
      <c r="BL390" s="10"/>
      <c r="BM390" s="10">
        <f t="shared" si="200"/>
        <v>0</v>
      </c>
      <c r="BN390" s="7"/>
    </row>
    <row r="391" spans="18:66" ht="12.75">
      <c r="R391" s="7"/>
      <c r="S391" s="7"/>
      <c r="T391" s="10">
        <f t="shared" si="201"/>
        <v>9</v>
      </c>
      <c r="U391" s="10" t="str">
        <f>AM368</f>
        <v>Oilflam 300.1</v>
      </c>
      <c r="V391" s="10"/>
      <c r="W391" s="16">
        <f t="shared" si="179"/>
        <v>0</v>
      </c>
      <c r="X391" s="10"/>
      <c r="Y391" s="10">
        <f t="shared" si="180"/>
        <v>237</v>
      </c>
      <c r="Z391" s="10"/>
      <c r="AA391" s="10">
        <f t="shared" si="181"/>
        <v>337</v>
      </c>
      <c r="AB391" s="10"/>
      <c r="AC391" s="10">
        <f t="shared" si="182"/>
        <v>580</v>
      </c>
      <c r="AD391" s="10"/>
      <c r="AE391" s="10">
        <f t="shared" si="183"/>
        <v>930</v>
      </c>
      <c r="AF391" s="10"/>
      <c r="AG391" s="10">
        <f t="shared" si="184"/>
        <v>1395</v>
      </c>
      <c r="AH391" s="10"/>
      <c r="AI391" s="10">
        <f t="shared" si="185"/>
        <v>1650</v>
      </c>
      <c r="AJ391" s="10"/>
      <c r="AK391" s="10">
        <f t="shared" si="186"/>
        <v>2034</v>
      </c>
      <c r="AL391" s="10"/>
      <c r="AM391" s="10">
        <f t="shared" si="187"/>
        <v>3000</v>
      </c>
      <c r="AN391" s="10"/>
      <c r="AO391" s="10">
        <f t="shared" si="188"/>
        <v>3940</v>
      </c>
      <c r="AP391" s="10"/>
      <c r="AQ391" s="10">
        <f t="shared" si="189"/>
        <v>5000</v>
      </c>
      <c r="AR391" s="10"/>
      <c r="AS391" s="10">
        <f t="shared" si="190"/>
        <v>5750</v>
      </c>
      <c r="AT391" s="10"/>
      <c r="AU391" s="10">
        <f t="shared" si="191"/>
        <v>7250</v>
      </c>
      <c r="AV391" s="10"/>
      <c r="AW391" s="10">
        <f t="shared" si="192"/>
        <v>8500</v>
      </c>
      <c r="AX391" s="10"/>
      <c r="AY391" s="10">
        <f t="shared" si="193"/>
        <v>10500</v>
      </c>
      <c r="AZ391" s="10"/>
      <c r="BA391" s="10">
        <f t="shared" si="194"/>
        <v>13100</v>
      </c>
      <c r="BB391" s="10"/>
      <c r="BC391" s="10">
        <f t="shared" si="195"/>
        <v>16800</v>
      </c>
      <c r="BD391" s="10"/>
      <c r="BE391" s="10">
        <f t="shared" si="196"/>
        <v>0</v>
      </c>
      <c r="BF391" s="10"/>
      <c r="BG391" s="10">
        <f t="shared" si="197"/>
        <v>0</v>
      </c>
      <c r="BH391" s="10"/>
      <c r="BI391" s="10">
        <f t="shared" si="198"/>
        <v>0</v>
      </c>
      <c r="BJ391" s="10"/>
      <c r="BK391" s="10">
        <f t="shared" si="199"/>
        <v>0</v>
      </c>
      <c r="BL391" s="10"/>
      <c r="BM391" s="10">
        <f t="shared" si="200"/>
        <v>0</v>
      </c>
      <c r="BN391" s="7"/>
    </row>
    <row r="392" spans="18:66" ht="12.75">
      <c r="R392" s="7"/>
      <c r="S392" s="7"/>
      <c r="T392" s="10">
        <f t="shared" si="201"/>
        <v>10</v>
      </c>
      <c r="U392" s="10" t="str">
        <f>AO368</f>
        <v>oilflam 400.1</v>
      </c>
      <c r="V392" s="10"/>
      <c r="W392" s="16">
        <f t="shared" si="179"/>
        <v>0</v>
      </c>
      <c r="X392" s="10"/>
      <c r="Y392" s="10">
        <f t="shared" si="180"/>
        <v>237</v>
      </c>
      <c r="Z392" s="10"/>
      <c r="AA392" s="10">
        <f t="shared" si="181"/>
        <v>337</v>
      </c>
      <c r="AB392" s="10"/>
      <c r="AC392" s="10">
        <f t="shared" si="182"/>
        <v>580</v>
      </c>
      <c r="AD392" s="10"/>
      <c r="AE392" s="10">
        <f t="shared" si="183"/>
        <v>930</v>
      </c>
      <c r="AF392" s="10"/>
      <c r="AG392" s="10">
        <f t="shared" si="184"/>
        <v>1395</v>
      </c>
      <c r="AH392" s="10"/>
      <c r="AI392" s="10">
        <f t="shared" si="185"/>
        <v>1650</v>
      </c>
      <c r="AJ392" s="10"/>
      <c r="AK392" s="10">
        <f t="shared" si="186"/>
        <v>2034</v>
      </c>
      <c r="AL392" s="10"/>
      <c r="AM392" s="10">
        <f t="shared" si="187"/>
        <v>3000</v>
      </c>
      <c r="AN392" s="10"/>
      <c r="AO392" s="10">
        <f t="shared" si="188"/>
        <v>3940</v>
      </c>
      <c r="AP392" s="10"/>
      <c r="AQ392" s="10">
        <f t="shared" si="189"/>
        <v>5000</v>
      </c>
      <c r="AR392" s="10"/>
      <c r="AS392" s="10">
        <f t="shared" si="190"/>
        <v>5750</v>
      </c>
      <c r="AT392" s="10"/>
      <c r="AU392" s="10">
        <f t="shared" si="191"/>
        <v>7250</v>
      </c>
      <c r="AV392" s="10"/>
      <c r="AW392" s="10">
        <f t="shared" si="192"/>
        <v>8500</v>
      </c>
      <c r="AX392" s="10"/>
      <c r="AY392" s="10">
        <f t="shared" si="193"/>
        <v>10500</v>
      </c>
      <c r="AZ392" s="10"/>
      <c r="BA392" s="10">
        <f t="shared" si="194"/>
        <v>13100</v>
      </c>
      <c r="BB392" s="10"/>
      <c r="BC392" s="10">
        <f t="shared" si="195"/>
        <v>16800</v>
      </c>
      <c r="BD392" s="10"/>
      <c r="BE392" s="10">
        <f t="shared" si="196"/>
        <v>0</v>
      </c>
      <c r="BF392" s="10"/>
      <c r="BG392" s="10">
        <f t="shared" si="197"/>
        <v>0</v>
      </c>
      <c r="BH392" s="10"/>
      <c r="BI392" s="10">
        <f t="shared" si="198"/>
        <v>0</v>
      </c>
      <c r="BJ392" s="10"/>
      <c r="BK392" s="10">
        <f t="shared" si="199"/>
        <v>0</v>
      </c>
      <c r="BL392" s="10"/>
      <c r="BM392" s="10">
        <f t="shared" si="200"/>
        <v>0</v>
      </c>
      <c r="BN392" s="7"/>
    </row>
    <row r="393" spans="18:66" ht="12.75">
      <c r="R393" s="7"/>
      <c r="S393" s="7"/>
      <c r="T393" s="10">
        <f t="shared" si="201"/>
        <v>11</v>
      </c>
      <c r="U393" s="10" t="str">
        <f>AQ368</f>
        <v>Oilflam 500.1</v>
      </c>
      <c r="V393" s="10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</row>
    <row r="394" spans="18:66" ht="12.75">
      <c r="R394" s="7"/>
      <c r="S394" s="7"/>
      <c r="T394" s="10">
        <f t="shared" si="201"/>
        <v>12</v>
      </c>
      <c r="U394" s="10" t="str">
        <f>AS368</f>
        <v>Oilflam 600.1</v>
      </c>
      <c r="V394" s="10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</row>
    <row r="395" spans="18:66" ht="12.75">
      <c r="R395" s="7"/>
      <c r="S395" s="7"/>
      <c r="T395" s="10">
        <f t="shared" si="201"/>
        <v>13</v>
      </c>
      <c r="U395" s="10" t="str">
        <f>AU368</f>
        <v>Oilflam 700.1</v>
      </c>
      <c r="V395" s="10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</row>
    <row r="396" spans="18:66" ht="12.75">
      <c r="R396" s="7"/>
      <c r="S396" s="7"/>
      <c r="T396" s="10">
        <f t="shared" si="201"/>
        <v>14</v>
      </c>
      <c r="U396" s="10" t="str">
        <f>AW368</f>
        <v>Oilflam 800.1</v>
      </c>
      <c r="V396" s="10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</row>
    <row r="397" spans="18:66" ht="12.75">
      <c r="R397" s="7"/>
      <c r="S397" s="7"/>
      <c r="T397" s="10">
        <f t="shared" si="201"/>
        <v>15</v>
      </c>
      <c r="U397" s="10" t="str">
        <f>AY368</f>
        <v>Oilflam 1000.1</v>
      </c>
      <c r="V397" s="10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</row>
    <row r="398" spans="18:66" ht="12.75">
      <c r="R398" s="7"/>
      <c r="S398" s="7"/>
      <c r="T398" s="10">
        <f t="shared" si="201"/>
        <v>16</v>
      </c>
      <c r="U398" s="10" t="str">
        <f>BA368</f>
        <v>Oilflam 1200.1</v>
      </c>
      <c r="V398" s="10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</row>
    <row r="399" spans="18:66" ht="12.75">
      <c r="R399" s="7"/>
      <c r="S399" s="7"/>
      <c r="T399" s="10">
        <f t="shared" si="201"/>
        <v>17</v>
      </c>
      <c r="U399" s="10" t="str">
        <f>BC368</f>
        <v>Oilflam 1500.1</v>
      </c>
      <c r="V399" s="10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</row>
    <row r="400" spans="18:66" ht="12.75">
      <c r="R400" s="7"/>
      <c r="S400" s="7"/>
      <c r="T400" s="10">
        <f t="shared" si="201"/>
        <v>18</v>
      </c>
      <c r="U400" s="10">
        <f>BE368</f>
        <v>0</v>
      </c>
      <c r="V400" s="10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</row>
    <row r="401" spans="18:66" ht="12.75">
      <c r="R401" s="7"/>
      <c r="S401" s="7"/>
      <c r="T401" s="10">
        <f t="shared" si="201"/>
        <v>19</v>
      </c>
      <c r="U401" s="10">
        <f>BG368</f>
        <v>0</v>
      </c>
      <c r="V401" s="10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</row>
    <row r="402" spans="18:66" ht="12.75">
      <c r="R402" s="7"/>
      <c r="S402" s="7"/>
      <c r="T402" s="10">
        <f t="shared" si="201"/>
        <v>20</v>
      </c>
      <c r="U402" s="10">
        <f>BI368</f>
        <v>0</v>
      </c>
      <c r="V402" s="10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</row>
    <row r="403" spans="18:66" ht="12.75">
      <c r="R403" s="7"/>
      <c r="S403" s="7"/>
      <c r="T403" s="10">
        <f t="shared" si="201"/>
        <v>21</v>
      </c>
      <c r="U403" s="10">
        <f>BK368</f>
        <v>0</v>
      </c>
      <c r="V403" s="10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</row>
    <row r="404" spans="19:64" ht="12.75">
      <c r="S404" s="7"/>
      <c r="T404" s="10">
        <f t="shared" si="201"/>
        <v>22</v>
      </c>
      <c r="U404" s="10">
        <f>BM368</f>
        <v>0</v>
      </c>
      <c r="V404" s="10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</row>
    <row r="405" spans="19:64" ht="12.75">
      <c r="S405" s="7"/>
      <c r="T405" s="10"/>
      <c r="U405" s="10"/>
      <c r="V405" s="10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</row>
    <row r="406" spans="19:64" ht="12.75"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</row>
    <row r="407" spans="19:64" ht="12.75"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</row>
    <row r="408" spans="19:64" ht="12.75"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</row>
    <row r="409" spans="19:64" ht="12.75"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</row>
    <row r="410" spans="19:64" ht="12.75"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</row>
    <row r="411" spans="19:64" ht="12.75"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</row>
    <row r="412" spans="19:64" ht="12.75"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</row>
    <row r="413" spans="19:64" ht="12.75"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</row>
    <row r="414" spans="19:64" ht="12.75"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</row>
    <row r="415" spans="19:64" ht="12.75"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</row>
    <row r="416" spans="19:64" ht="12.75"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</row>
    <row r="417" spans="19:64" ht="12.75"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</row>
    <row r="418" spans="19:64" ht="12.75"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</row>
    <row r="419" spans="19:64" ht="12.75"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</row>
    <row r="420" spans="19:64" ht="12.75"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</row>
    <row r="421" spans="19:64" ht="12.75"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</row>
    <row r="422" spans="19:64" ht="12.75"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</row>
  </sheetData>
  <sheetProtection/>
  <mergeCells count="218">
    <mergeCell ref="AE9:AF9"/>
    <mergeCell ref="AG9:AH9"/>
    <mergeCell ref="AA9:AB9"/>
    <mergeCell ref="AE59:AF59"/>
    <mergeCell ref="AG59:AH59"/>
    <mergeCell ref="V3:Z4"/>
    <mergeCell ref="AC59:AD59"/>
    <mergeCell ref="AA59:AB59"/>
    <mergeCell ref="AC9:AD9"/>
    <mergeCell ref="BE368:BF368"/>
    <mergeCell ref="BG368:BH368"/>
    <mergeCell ref="AO368:AP368"/>
    <mergeCell ref="BA368:BB368"/>
    <mergeCell ref="BC368:BD368"/>
    <mergeCell ref="AS368:AT368"/>
    <mergeCell ref="AU368:AV368"/>
    <mergeCell ref="AW368:AX368"/>
    <mergeCell ref="AY368:AZ368"/>
    <mergeCell ref="AQ368:AR368"/>
    <mergeCell ref="BI368:BJ368"/>
    <mergeCell ref="BK368:BL368"/>
    <mergeCell ref="BM368:BN368"/>
    <mergeCell ref="BI309:BJ309"/>
    <mergeCell ref="BK309:BL309"/>
    <mergeCell ref="BM309:BN309"/>
    <mergeCell ref="BS70:BT70"/>
    <mergeCell ref="BS9:BT9"/>
    <mergeCell ref="BK9:BL9"/>
    <mergeCell ref="BM9:BN9"/>
    <mergeCell ref="BC70:BD70"/>
    <mergeCell ref="BA70:BB70"/>
    <mergeCell ref="BQ9:BR9"/>
    <mergeCell ref="BO9:BP9"/>
    <mergeCell ref="BA9:BB9"/>
    <mergeCell ref="BO70:BP70"/>
    <mergeCell ref="AK368:AL368"/>
    <mergeCell ref="AM368:AN368"/>
    <mergeCell ref="U368:V368"/>
    <mergeCell ref="W368:X368"/>
    <mergeCell ref="Y368:Z368"/>
    <mergeCell ref="AA368:AB368"/>
    <mergeCell ref="AC368:AD368"/>
    <mergeCell ref="AE368:AF368"/>
    <mergeCell ref="AG368:AH368"/>
    <mergeCell ref="AI368:AJ368"/>
    <mergeCell ref="W366:Y366"/>
    <mergeCell ref="BA309:BB309"/>
    <mergeCell ref="BC309:BD309"/>
    <mergeCell ref="AC309:AD309"/>
    <mergeCell ref="AE309:AF309"/>
    <mergeCell ref="AK309:AL309"/>
    <mergeCell ref="AM309:AN309"/>
    <mergeCell ref="AO309:AP309"/>
    <mergeCell ref="AQ309:AR309"/>
    <mergeCell ref="BG309:BH309"/>
    <mergeCell ref="AS309:AT309"/>
    <mergeCell ref="AU309:AV309"/>
    <mergeCell ref="AW309:AX309"/>
    <mergeCell ref="AY309:AZ309"/>
    <mergeCell ref="BE309:BF309"/>
    <mergeCell ref="AY250:AZ250"/>
    <mergeCell ref="AG309:AH309"/>
    <mergeCell ref="AI309:AJ309"/>
    <mergeCell ref="U309:V309"/>
    <mergeCell ref="W309:X309"/>
    <mergeCell ref="Y309:Z309"/>
    <mergeCell ref="AA309:AB309"/>
    <mergeCell ref="AQ250:AR250"/>
    <mergeCell ref="AK250:AL250"/>
    <mergeCell ref="AM250:AN250"/>
    <mergeCell ref="AG250:AH250"/>
    <mergeCell ref="W248:Y248"/>
    <mergeCell ref="W307:Y307"/>
    <mergeCell ref="AS250:AT250"/>
    <mergeCell ref="AU250:AV250"/>
    <mergeCell ref="AW250:AX250"/>
    <mergeCell ref="AI250:AJ250"/>
    <mergeCell ref="AO250:AP250"/>
    <mergeCell ref="U250:V250"/>
    <mergeCell ref="W250:X250"/>
    <mergeCell ref="Y250:Z250"/>
    <mergeCell ref="AA250:AB250"/>
    <mergeCell ref="AC250:AD250"/>
    <mergeCell ref="AE250:AF250"/>
    <mergeCell ref="W190:Y190"/>
    <mergeCell ref="Y70:Z70"/>
    <mergeCell ref="AC192:AD192"/>
    <mergeCell ref="AE120:AF120"/>
    <mergeCell ref="AC144:AD144"/>
    <mergeCell ref="AE144:AF144"/>
    <mergeCell ref="AE70:AF70"/>
    <mergeCell ref="AC120:AD120"/>
    <mergeCell ref="AE192:AF192"/>
    <mergeCell ref="W120:X120"/>
    <mergeCell ref="AW59:AX59"/>
    <mergeCell ref="AY59:AZ59"/>
    <mergeCell ref="AA70:AB70"/>
    <mergeCell ref="B2:D2"/>
    <mergeCell ref="B3:D3"/>
    <mergeCell ref="H2:I2"/>
    <mergeCell ref="J2:K2"/>
    <mergeCell ref="L2:M2"/>
    <mergeCell ref="V2:X2"/>
    <mergeCell ref="AI59:AJ59"/>
    <mergeCell ref="AM144:AN144"/>
    <mergeCell ref="Y144:Z144"/>
    <mergeCell ref="AA144:AB144"/>
    <mergeCell ref="Y120:Z120"/>
    <mergeCell ref="AA120:AB120"/>
    <mergeCell ref="AI144:AJ144"/>
    <mergeCell ref="AI120:AJ120"/>
    <mergeCell ref="AG120:AH120"/>
    <mergeCell ref="AK144:AL144"/>
    <mergeCell ref="N2:O2"/>
    <mergeCell ref="L3:M3"/>
    <mergeCell ref="N3:O3"/>
    <mergeCell ref="P22:Q22"/>
    <mergeCell ref="S22:T22"/>
    <mergeCell ref="Y59:Z59"/>
    <mergeCell ref="U9:V9"/>
    <mergeCell ref="B7:E8"/>
    <mergeCell ref="B9:E10"/>
    <mergeCell ref="F7:J8"/>
    <mergeCell ref="F9:J10"/>
    <mergeCell ref="W66:AA67"/>
    <mergeCell ref="W9:X9"/>
    <mergeCell ref="P9:Q9"/>
    <mergeCell ref="X64:AA65"/>
    <mergeCell ref="L48:M49"/>
    <mergeCell ref="D38:E39"/>
    <mergeCell ref="AG192:AH192"/>
    <mergeCell ref="BI144:BJ144"/>
    <mergeCell ref="W142:Y142"/>
    <mergeCell ref="BA144:BB144"/>
    <mergeCell ref="BC144:BD144"/>
    <mergeCell ref="BE144:BF144"/>
    <mergeCell ref="BG144:BH144"/>
    <mergeCell ref="AS144:AT144"/>
    <mergeCell ref="AU144:AV144"/>
    <mergeCell ref="AG144:AH144"/>
    <mergeCell ref="AM192:AN192"/>
    <mergeCell ref="AO192:AP192"/>
    <mergeCell ref="AQ144:AR144"/>
    <mergeCell ref="AO144:AP144"/>
    <mergeCell ref="U192:V192"/>
    <mergeCell ref="W192:X192"/>
    <mergeCell ref="Y192:Z192"/>
    <mergeCell ref="AA192:AB192"/>
    <mergeCell ref="AI192:AJ192"/>
    <mergeCell ref="AK192:AL192"/>
    <mergeCell ref="BM192:BN192"/>
    <mergeCell ref="AY192:AZ192"/>
    <mergeCell ref="BA192:BB192"/>
    <mergeCell ref="BC192:BD192"/>
    <mergeCell ref="BE192:BF192"/>
    <mergeCell ref="AQ192:AR192"/>
    <mergeCell ref="AS192:AT192"/>
    <mergeCell ref="AU192:AV192"/>
    <mergeCell ref="AW192:AX192"/>
    <mergeCell ref="BE9:BF9"/>
    <mergeCell ref="BG9:BH9"/>
    <mergeCell ref="AM7:AP7"/>
    <mergeCell ref="BG192:BH192"/>
    <mergeCell ref="BI192:BJ192"/>
    <mergeCell ref="BK192:BL192"/>
    <mergeCell ref="AY144:AZ144"/>
    <mergeCell ref="AW144:AX144"/>
    <mergeCell ref="AY70:AZ70"/>
    <mergeCell ref="AU59:AV59"/>
    <mergeCell ref="AW70:AX70"/>
    <mergeCell ref="AU70:AV70"/>
    <mergeCell ref="AS70:AT70"/>
    <mergeCell ref="V5:Z6"/>
    <mergeCell ref="BI9:BJ9"/>
    <mergeCell ref="AU9:AV9"/>
    <mergeCell ref="AW9:AX9"/>
    <mergeCell ref="AY9:AZ9"/>
    <mergeCell ref="Y9:Z9"/>
    <mergeCell ref="BC9:BD9"/>
    <mergeCell ref="AO59:AP59"/>
    <mergeCell ref="AQ70:AR70"/>
    <mergeCell ref="AO70:AP70"/>
    <mergeCell ref="U70:V70"/>
    <mergeCell ref="W70:X70"/>
    <mergeCell ref="BM70:BN70"/>
    <mergeCell ref="BK70:BL70"/>
    <mergeCell ref="BI70:BJ70"/>
    <mergeCell ref="BG70:BH70"/>
    <mergeCell ref="BE70:BF70"/>
    <mergeCell ref="BQ70:BR70"/>
    <mergeCell ref="AI9:AJ9"/>
    <mergeCell ref="AK9:AL9"/>
    <mergeCell ref="AM9:AN9"/>
    <mergeCell ref="AM70:AN70"/>
    <mergeCell ref="AK70:AL70"/>
    <mergeCell ref="AO9:AP9"/>
    <mergeCell ref="AQ9:AR9"/>
    <mergeCell ref="AS9:AT9"/>
    <mergeCell ref="AI70:AJ70"/>
    <mergeCell ref="AS59:AT59"/>
    <mergeCell ref="R263:S263"/>
    <mergeCell ref="O259:P259"/>
    <mergeCell ref="R205:S205"/>
    <mergeCell ref="P197:Q197"/>
    <mergeCell ref="R83:S83"/>
    <mergeCell ref="AK59:AL59"/>
    <mergeCell ref="AQ59:AR59"/>
    <mergeCell ref="AM59:AN59"/>
    <mergeCell ref="N86:O86"/>
    <mergeCell ref="R157:S157"/>
    <mergeCell ref="Q150:R150"/>
    <mergeCell ref="AG70:AH70"/>
    <mergeCell ref="H43:I46"/>
    <mergeCell ref="J43:K46"/>
    <mergeCell ref="I48:J49"/>
    <mergeCell ref="AC70:AD70"/>
    <mergeCell ref="U144:V144"/>
    <mergeCell ref="W144:X144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Vito Zanon</cp:lastModifiedBy>
  <cp:lastPrinted>2009-04-21T07:03:31Z</cp:lastPrinted>
  <dcterms:created xsi:type="dcterms:W3CDTF">1996-11-05T10:16:36Z</dcterms:created>
  <dcterms:modified xsi:type="dcterms:W3CDTF">2013-11-13T10:02:50Z</dcterms:modified>
  <cp:category/>
  <cp:version/>
  <cp:contentType/>
  <cp:contentStatus/>
</cp:coreProperties>
</file>